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Merge_combined" sheetId="1" r:id="rId4"/>
    <sheet state="hidden" name="Hoja 11" sheetId="2" r:id="rId5"/>
    <sheet state="hidden" name="Unique_values_paper" sheetId="3" r:id="rId6"/>
    <sheet state="hidden" name="Merge_Bin" sheetId="4" r:id="rId7"/>
    <sheet state="hidden" name="Merge_Alex" sheetId="5" r:id="rId8"/>
    <sheet state="hidden" name="Merge_Ana" sheetId="6" r:id="rId9"/>
    <sheet state="hidden" name="Assignment" sheetId="7" r:id="rId10"/>
    <sheet state="hidden" name="General Tags" sheetId="8" r:id="rId11"/>
    <sheet state="visible" name="Tagger A" sheetId="9" r:id="rId12"/>
    <sheet state="visible" name="Tagger B" sheetId="10" r:id="rId13"/>
    <sheet state="visible" name="Tagger C" sheetId="11" r:id="rId14"/>
    <sheet state="visible" name="Tagger D" sheetId="12" r:id="rId15"/>
    <sheet state="visible" name="Tagger E" sheetId="13" r:id="rId16"/>
    <sheet state="visible" name="Tagger F" sheetId="14" r:id="rId17"/>
    <sheet state="visible" name="Tagger G" sheetId="15" r:id="rId18"/>
    <sheet state="hidden" name="DOI_URL" sheetId="16" r:id="rId19"/>
  </sheets>
  <definedNames>
    <definedName hidden="1" localSheetId="0" name="_xlnm._FilterDatabase">Merge_combined!$A$1:$AB$682</definedName>
    <definedName hidden="1" localSheetId="2" name="_xlnm._FilterDatabase">Unique_values_paper!$A$1:$Z$75</definedName>
    <definedName hidden="1" localSheetId="5" name="_xlnm._FilterDatabase">Merge_Ana!$A$1:$B$716</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
      <text>
        <t xml:space="preserve">In this stage, designers decide the functionalities that should be included in a ML system, their usefulness for new or existing product, and the most appropriate type of ML model for the expected system features</t>
      </text>
    </comment>
    <comment authorId="0" ref="D3">
      <text>
        <t xml:space="preserve">This second stage encompasses looking for, collecting and integrating available datasets</t>
      </text>
    </comment>
    <comment authorId="0" ref="D4">
      <text>
        <t xml:space="preserve">In general, this stage involves removing inaccurate or noisy records from a dataset. (e.g., tasks included exploratory data analysis, wrangling)</t>
      </text>
    </comment>
    <comment authorId="0" ref="D5">
      <text>
        <t xml:space="preserve">This phase, in which a ground truth label is assigned to each sample/record of the
datasets</t>
      </text>
    </comment>
    <comment authorId="0" ref="D6">
      <text>
        <t xml:space="preserve">This stage of an ML pipeline involves all the activities that are performed to extract and select informative features (i.e., characteristics/attributes that are useful or relevant) for machine learning models</t>
      </text>
    </comment>
    <comment authorId="0" ref="D7">
      <text>
        <t xml:space="preserve">In this stage, machine learning models are trained and tuned using the selected features in the feature engineering stage, and the labels created/selected during the data labeling stage</t>
      </text>
    </comment>
    <comment authorId="0" ref="D8">
      <text>
        <t xml:space="preserve">In the model evaluation stage, trained and tuned models are tested. For instance, engineers evaluate the output models on tested or safeguard datasets by using predefined metrics. In particular cases, for critical domains (e.g., safety critical applications from medical domain), this stage involves human evaluation.</t>
      </text>
    </comment>
    <comment authorId="0" ref="D9">
      <text>
        <t xml:space="preserve">Note that, in this stage, the inference code (i.e., the code used to train/test/validate a
model) of the previously trained, tuned, and tested model is deployed on a production
setup.</t>
      </text>
    </comment>
    <comment authorId="0" ref="D10">
      <text>
        <t xml:space="preserve">In this stage of the ML pipeline, models are continuously monitored for possible errors while being executed in the real world </t>
      </text>
    </comment>
    <comment authorId="0" ref="D11">
      <text>
        <t xml:space="preserve">This is a complementary stage in which we present practices that are more related to the resources needed to build/monitor a ML model/system and could involve more than one of the previous stages.</t>
      </text>
    </comment>
  </commentList>
</comments>
</file>

<file path=xl/sharedStrings.xml><?xml version="1.0" encoding="utf-8"?>
<sst xmlns="http://schemas.openxmlformats.org/spreadsheetml/2006/main" count="26698" uniqueCount="3765">
  <si>
    <t>List of papers</t>
  </si>
  <si>
    <t>Practices</t>
  </si>
  <si>
    <t>Location in the article (Page, section)</t>
  </si>
  <si>
    <t>ML Practice Input (Data, models,..)</t>
  </si>
  <si>
    <t>ML Practice What/How (technique/method,..)</t>
  </si>
  <si>
    <t>ML Practice purpose (if it is mentioned)</t>
  </si>
  <si>
    <t>ML pipeline Stage</t>
  </si>
  <si>
    <t>Software engineering task</t>
  </si>
  <si>
    <t>10.1109 ASE.2013.6693093</t>
  </si>
  <si>
    <t>1, 7</t>
  </si>
  <si>
    <t>Page 347, section IV A</t>
  </si>
  <si>
    <t>source code</t>
  </si>
  <si>
    <t>split by method with the AST</t>
  </si>
  <si>
    <t>to extract different program constructs (IDENTIFIERS) such as class names, method names, variable names, and comments.</t>
  </si>
  <si>
    <t>Feature Engineering</t>
  </si>
  <si>
    <t>Bug localization</t>
  </si>
  <si>
    <t>Page 348, section IV B</t>
  </si>
  <si>
    <t>identifiers</t>
  </si>
  <si>
    <t>split Compound identifiers based on capital letters (CAMELCASE) and kept compund identifier</t>
  </si>
  <si>
    <t>To tokenize and index terms</t>
  </si>
  <si>
    <t>Data Cleaning</t>
  </si>
  <si>
    <t>identifiers (names and comment words)</t>
  </si>
  <si>
    <t>remove punctuation</t>
  </si>
  <si>
    <t>To tokenize Source Code</t>
  </si>
  <si>
    <t>remove language keywords</t>
  </si>
  <si>
    <t>3, 12</t>
  </si>
  <si>
    <t>Page 348, section IV C</t>
  </si>
  <si>
    <t>document (source code) + Bug report (Query)</t>
  </si>
  <si>
    <t>BM25 (TFIDF variant)</t>
  </si>
  <si>
    <t>to detect bugs and locate them</t>
  </si>
  <si>
    <t>Page 349, section V A</t>
  </si>
  <si>
    <t>dataset Zhou et al. [46]</t>
  </si>
  <si>
    <t>separate training and tuning data</t>
  </si>
  <si>
    <t>-</t>
  </si>
  <si>
    <t>5, 14</t>
  </si>
  <si>
    <t>Page 349, section V B</t>
  </si>
  <si>
    <t>Their information retrieval model</t>
  </si>
  <si>
    <t>Recall at Top N, Mean Reciprocal Rank (MRR), Mean Average Precision (MAP)</t>
  </si>
  <si>
    <t>to evaluate the model performance</t>
  </si>
  <si>
    <t>Model Evaluation</t>
  </si>
  <si>
    <t>349, Section 5</t>
  </si>
  <si>
    <t>open source data</t>
  </si>
  <si>
    <t>use source code from popular open source projects</t>
  </si>
  <si>
    <t>to collect testing data</t>
  </si>
  <si>
    <t>Data Collection</t>
  </si>
  <si>
    <t>Page 350, section V C</t>
  </si>
  <si>
    <t>stemming</t>
  </si>
  <si>
    <t>structure of the data for next calculation steps</t>
  </si>
  <si>
    <t>multiple steemers (porter, Krovetz, None) + model + dataset</t>
  </si>
  <si>
    <t>train only on AspectJ</t>
  </si>
  <si>
    <t>to select optimum stemmer</t>
  </si>
  <si>
    <t>their proposed ranking model</t>
  </si>
  <si>
    <t>grid search</t>
  </si>
  <si>
    <t>to find the best k1 and n of TFIDF</t>
  </si>
  <si>
    <t>Model Training</t>
  </si>
  <si>
    <t>Page 350, section Vi</t>
  </si>
  <si>
    <t>different indexing results, their IR model</t>
  </si>
  <si>
    <t>perform a set of evaluations in which they used each feature separately for ranking.(structure metrics)</t>
  </si>
  <si>
    <t>to evaluate if indexing the exact identifier names improve performance</t>
  </si>
  <si>
    <t>6, 18</t>
  </si>
  <si>
    <t>Page 351, section Vi</t>
  </si>
  <si>
    <t>Their model results (recall at 1,5,10) and the state of the art results</t>
  </si>
  <si>
    <t>directly comparision 93093</t>
  </si>
  <si>
    <t>to compare their model perfomance with their benchmarks</t>
  </si>
  <si>
    <t>10.1145 3238147.3238166</t>
  </si>
  <si>
    <t>page 387, section 3.2</t>
  </si>
  <si>
    <t>method and class  information</t>
  </si>
  <si>
    <t>distance metrics presented by Tsantalis and Chatzigeorgiou</t>
  </si>
  <si>
    <t>to enconde code as structural information (code metrics)</t>
  </si>
  <si>
    <t>Smells detection</t>
  </si>
  <si>
    <t>select metrics  distance metrics presented by Tsantalis and Chatzigeorgiou  based on their prioir results and open source availability</t>
  </si>
  <si>
    <t>to select features</t>
  </si>
  <si>
    <t>use textual and  structural information</t>
  </si>
  <si>
    <t>to train models for envy feature detection</t>
  </si>
  <si>
    <t>1, 13</t>
  </si>
  <si>
    <t>page 388, section 3.3</t>
  </si>
  <si>
    <t>words in identifiers ( name of methods and classes)</t>
  </si>
  <si>
    <t>word2vector</t>
  </si>
  <si>
    <t>to convert words in identifiers into fixed-length numerical vectors</t>
  </si>
  <si>
    <t>3, 14</t>
  </si>
  <si>
    <t>split by capital letters and underscore</t>
  </si>
  <si>
    <t>3, 15</t>
  </si>
  <si>
    <t>splitted words  identifiers by capital leters or underscore</t>
  </si>
  <si>
    <t>limit the the length of word sequence for each identifier (to 5)</t>
  </si>
  <si>
    <t>pad the legth of word sequence if applicable (less than five words)</t>
  </si>
  <si>
    <t>deep neural based classifier (CNN)</t>
  </si>
  <si>
    <t>to detect envy feature smell</t>
  </si>
  <si>
    <t>2, 18</t>
  </si>
  <si>
    <t>page 388, section 3.4</t>
  </si>
  <si>
    <t>Select CNN layer based on their leaarning capabilities and recent advances</t>
  </si>
  <si>
    <t>to select a model</t>
  </si>
  <si>
    <t>Model Requirement</t>
  </si>
  <si>
    <t>5, 19</t>
  </si>
  <si>
    <t>page 389, section 3.4</t>
  </si>
  <si>
    <t>use binary crossentropy as the loss function</t>
  </si>
  <si>
    <t>4, 20</t>
  </si>
  <si>
    <t>page 389, section 3.5</t>
  </si>
  <si>
    <t>download well-known and high quality open-source applications</t>
  </si>
  <si>
    <t>to collect data</t>
  </si>
  <si>
    <t>21, 22</t>
  </si>
  <si>
    <t>downloaded  open-source applications</t>
  </si>
  <si>
    <t>per each method in the apps generate an individual training sample</t>
  </si>
  <si>
    <t>to collect data (add methods that meet a condition)</t>
  </si>
  <si>
    <t xml:space="preserve">per each method </t>
  </si>
  <si>
    <t>test if the method could be moved to other classes with move method refactoring. (with APIs provided by Eclipse JDT)</t>
  </si>
  <si>
    <t>to assign a category if the method should be moved or not</t>
  </si>
  <si>
    <t>Data Labeling</t>
  </si>
  <si>
    <t>6, 23</t>
  </si>
  <si>
    <t>page 390, section 4.2</t>
  </si>
  <si>
    <t>7 apps, each app is an independent fold</t>
  </si>
  <si>
    <t>k-fold (k = 7) cross-validation</t>
  </si>
  <si>
    <t>to train the model</t>
  </si>
  <si>
    <t>7, 24, 8, 25</t>
  </si>
  <si>
    <t>page 391, section 4.3</t>
  </si>
  <si>
    <t xml:space="preserve">Their deep model </t>
  </si>
  <si>
    <t>precision, recall, and F1, accuracy (correct recomendations/total true positives)</t>
  </si>
  <si>
    <t>to evaluate the model performance of detecting envy smells</t>
  </si>
  <si>
    <t>9, 26</t>
  </si>
  <si>
    <t>page 391, section 4.4</t>
  </si>
  <si>
    <t>their model results and the other two approaches (JDeodorant JMove)</t>
  </si>
  <si>
    <t>compare direct metrics with two other approaches</t>
  </si>
  <si>
    <t>to evalute their model performance compared with others</t>
  </si>
  <si>
    <t>model + features (code metrics + textual input)</t>
  </si>
  <si>
    <t>removing textual input or code metrics duirng training phase</t>
  </si>
  <si>
    <t>to evaluate how  textual input and code metrics contribute in their model</t>
  </si>
  <si>
    <t>their model + different hardware setups one for training a more powerful one and a personal computer for testing)</t>
  </si>
  <si>
    <t>evaluate the time to train  the model and use the detection  model</t>
  </si>
  <si>
    <t>to evaluate Runtime Performance</t>
  </si>
  <si>
    <t>10.1145 2635868.2635874</t>
  </si>
  <si>
    <t>page 690, section 3.1</t>
  </si>
  <si>
    <t>Tf.idf calculation</t>
  </si>
  <si>
    <t>to create a Vector Space Model</t>
  </si>
  <si>
    <t>page 690, section 3.1.1</t>
  </si>
  <si>
    <t>source code (code and comments)</t>
  </si>
  <si>
    <t>split by white spaces</t>
  </si>
  <si>
    <t>To tokenize an input document,</t>
  </si>
  <si>
    <t>bag of words of source code (code and comments)</t>
  </si>
  <si>
    <t>remove punctutation</t>
  </si>
  <si>
    <t>To remove noise</t>
  </si>
  <si>
    <t>remove numbers</t>
  </si>
  <si>
    <t>remove stop words</t>
  </si>
  <si>
    <t>page 691, section 3.1.1</t>
  </si>
  <si>
    <t>split Compound words into their components based on capital letters (CAMELCASE)</t>
  </si>
  <si>
    <t>cleaned bag of words of source code (code and comments)</t>
  </si>
  <si>
    <t>Porter stemmer</t>
  </si>
  <si>
    <t>To tokenize an input document to stem</t>
  </si>
  <si>
    <t>to compute per-method similarities with the bug report.</t>
  </si>
  <si>
    <t>Sorce code and bug reports</t>
  </si>
  <si>
    <t>cosine similarities</t>
  </si>
  <si>
    <t>to compute lexical semantic similarity</t>
  </si>
  <si>
    <t>page 692-693, section 3.6</t>
  </si>
  <si>
    <t>Bug-Fixing Frequency, Class Name Similarity</t>
  </si>
  <si>
    <t>normalize features with training statistics</t>
  </si>
  <si>
    <t>page 693, section 4</t>
  </si>
  <si>
    <t>use 6 different open-source projects</t>
  </si>
  <si>
    <t>ensure data usefulness by filtering information that was not related to the purpose</t>
  </si>
  <si>
    <t>ensure data usefulness</t>
  </si>
  <si>
    <t>page 693 - 694, section 5</t>
  </si>
  <si>
    <t xml:space="preserve">fetures of semantic similarity between source code and bug reports </t>
  </si>
  <si>
    <t>SVMrank package</t>
  </si>
  <si>
    <t>to train and optimize the weights that capture domain dependent relationships between a bug report r and a source code file s.</t>
  </si>
  <si>
    <t>page 694, section 5</t>
  </si>
  <si>
    <t>all the vector space model of the spurce code and bug reports</t>
  </si>
  <si>
    <t>vector space model (VSM) cosine similarity</t>
  </si>
  <si>
    <t>to rank all the files in the datasetand then select only the top 300 irrelevant files for training.</t>
  </si>
  <si>
    <t>bug reports from each dataset sorted  chronologically by their report the created timestamp</t>
  </si>
  <si>
    <t>create a disjoint set for training and testing, taking into account time dependencies</t>
  </si>
  <si>
    <t>their  proposed ranking  model</t>
  </si>
  <si>
    <t>to find the best C</t>
  </si>
  <si>
    <t>694-5</t>
  </si>
  <si>
    <t>Dataset</t>
  </si>
  <si>
    <t>Train/test/validation folding</t>
  </si>
  <si>
    <t>AspectJ code is smaller</t>
  </si>
  <si>
    <t>10 fold cross validation time series</t>
  </si>
  <si>
    <t>6,7,8,27</t>
  </si>
  <si>
    <t>Their model SVM ranking model</t>
  </si>
  <si>
    <t>Mean Reciprocal Rank (MRR), Mean Average Precision (MAP) and Accuracy@k</t>
  </si>
  <si>
    <t>Their model results (Accuracy@10) and the state of the art results with the metric (Accuracy@10)</t>
  </si>
  <si>
    <t>the Mann-Whitney U Test and p &lt; 0.05</t>
  </si>
  <si>
    <t>page 696, section 5.2</t>
  </si>
  <si>
    <t>all the features, data unknown, their ranking model</t>
  </si>
  <si>
    <t>to evaluate the utility of each used features</t>
  </si>
  <si>
    <t>page 696, section 5.3</t>
  </si>
  <si>
    <t xml:space="preserve">different number of samples  and their ranking model </t>
  </si>
  <si>
    <t>perform a set of evaluations  in which they used each  an incrising numer of samples to train the model</t>
  </si>
  <si>
    <t>to evaluate the Impact of Training Data Size</t>
  </si>
  <si>
    <t>page 696, section 5.4</t>
  </si>
  <si>
    <t xml:space="preserve">all the benchmark datasets and their rankg model </t>
  </si>
  <si>
    <t>evaluate the time to train and to rank files</t>
  </si>
  <si>
    <t>10.1145 3324884.3416627</t>
  </si>
  <si>
    <t>page 338, section 3.1</t>
  </si>
  <si>
    <t>Issues</t>
  </si>
  <si>
    <t>text-parsing tool</t>
  </si>
  <si>
    <t>to remove embeded source code and retain textual contents</t>
  </si>
  <si>
    <t>Requirements Discovery and Annotation</t>
  </si>
  <si>
    <t>Issues -textual contents</t>
  </si>
  <si>
    <t>Splitting issue description text into individual sentences</t>
  </si>
  <si>
    <t>to preprocess issues and convert to  learning instances</t>
  </si>
  <si>
    <t>Issues -  individual sentences</t>
  </si>
  <si>
    <t>special character removal</t>
  </si>
  <si>
    <t>1, 14</t>
  </si>
  <si>
    <t>tokenization</t>
  </si>
  <si>
    <t>1, 15</t>
  </si>
  <si>
    <t>lowercase conversion</t>
  </si>
  <si>
    <t>page 338, section 3.1.2</t>
  </si>
  <si>
    <t>data</t>
  </si>
  <si>
    <t>data augmentation with categories of the requirements  discovery and annotation</t>
  </si>
  <si>
    <t>to allowing data sharing beyond single task learning;</t>
  </si>
  <si>
    <t>2, 17</t>
  </si>
  <si>
    <t>page 339, section 3.2.1</t>
  </si>
  <si>
    <t>all learning instances</t>
  </si>
  <si>
    <t>mini batch sample (number samples/batch size batches)</t>
  </si>
  <si>
    <t>to boost performances and accelerate the training process</t>
  </si>
  <si>
    <t>3, 18</t>
  </si>
  <si>
    <t>page 339, section 3.2.2</t>
  </si>
  <si>
    <t>sentences (learning instances)</t>
  </si>
  <si>
    <t>BERT (transfer learning)</t>
  </si>
  <si>
    <t>to embed to a semantic layer (sentence)</t>
  </si>
  <si>
    <t>4, 19</t>
  </si>
  <si>
    <t>page 340, section 3.2.2</t>
  </si>
  <si>
    <t>zero padding the learning instance  (to 10 sentences)</t>
  </si>
  <si>
    <t>To ensure the consistency of input length</t>
  </si>
  <si>
    <t>truncate  the learning instance  (to 10 sentences)</t>
  </si>
  <si>
    <t xml:space="preserve">the semantic vectors </t>
  </si>
  <si>
    <t>Bi-LSTM layer</t>
  </si>
  <si>
    <t>to embed the contextual information and enable richer information sharing in the multi task learning</t>
  </si>
  <si>
    <t>5, 22</t>
  </si>
  <si>
    <t>their model (DEMAR ) + vectors after the context embedding layer</t>
  </si>
  <si>
    <t xml:space="preserve">for each task calculate a separate loss, but also use a principled shared loss </t>
  </si>
  <si>
    <t>to train the multi task model and allow  eavesdroping from one task to others tasks</t>
  </si>
  <si>
    <t>DEMAR + learning instances</t>
  </si>
  <si>
    <t>stop training after 10 batches without improvemnt in the loss function</t>
  </si>
  <si>
    <t>7, 24</t>
  </si>
  <si>
    <t>page 341, section 4.3.3</t>
  </si>
  <si>
    <t>possible values of  the hiden vector (32, 64, 96, 128, 160, 192, 224, 256, 512, 1024), batch size (1, 2, 4, 8, 16, 32, 64, 128, 256, 512), 𝜆 (0.1 to 0.9 step 0.1)</t>
  </si>
  <si>
    <t>Gredy tuning - optimize the three hyper-parameters of the model one after the other (first optimize hiden vector with the others in default values, then, batch size with the best hiden vector and default 𝜆, and finally the 𝜆</t>
  </si>
  <si>
    <t>to tune their model hyper-parameters</t>
  </si>
  <si>
    <t>hyper parameter sensivity analysis</t>
  </si>
  <si>
    <t>to evaluate how sensitive is the model to the hyperparameters</t>
  </si>
  <si>
    <t>page 341, section 4.2</t>
  </si>
  <si>
    <t>use 8 different open-source projects</t>
  </si>
  <si>
    <t>open-source projects</t>
  </si>
  <si>
    <t>For each project, randomly retrieve the equal amount of positive and negative instances</t>
  </si>
  <si>
    <t>manually inspect labels and correct mis-classified requirements</t>
  </si>
  <si>
    <t>to verify labeling</t>
  </si>
  <si>
    <t>page 341, section 4.3.1</t>
  </si>
  <si>
    <t>Multi tasks models ans single task model + data</t>
  </si>
  <si>
    <t>use 10-fold cross validation</t>
  </si>
  <si>
    <t>to train their models</t>
  </si>
  <si>
    <t>10, 29</t>
  </si>
  <si>
    <t>page 342, section 4.5</t>
  </si>
  <si>
    <t>their model + data</t>
  </si>
  <si>
    <t>Accuracy, Precision, Recall, F1. (1) Accuracy</t>
  </si>
  <si>
    <t>8, 30</t>
  </si>
  <si>
    <t>compare directly the plain metrics between baselines and their models</t>
  </si>
  <si>
    <t>baseline comparision</t>
  </si>
  <si>
    <t>10.1145 3368089.3409687</t>
  </si>
  <si>
    <t>page 1230, section 2</t>
  </si>
  <si>
    <t>Program input</t>
  </si>
  <si>
    <t>Parsing into context free grammar</t>
  </si>
  <si>
    <t>Error diagnosis</t>
  </si>
  <si>
    <t>2, 8</t>
  </si>
  <si>
    <t>page 1231, section 3</t>
  </si>
  <si>
    <t>Input elements (Production rules )</t>
  </si>
  <si>
    <t>encode input  elements by their existence (1|0)</t>
  </si>
  <si>
    <t>to encode production rules into binary features</t>
  </si>
  <si>
    <t>2, 9</t>
  </si>
  <si>
    <t>encode input  elements by their length  (number)</t>
  </si>
  <si>
    <t>2, 10</t>
  </si>
  <si>
    <t>use Maximal Code Point</t>
  </si>
  <si>
    <t>2, 11</t>
  </si>
  <si>
    <t>use Numeric Interpretation.</t>
  </si>
  <si>
    <t>Decision tree learner</t>
  </si>
  <si>
    <t>to prefict failures</t>
  </si>
  <si>
    <t>7, 12</t>
  </si>
  <si>
    <t>page 1234, section 5.1.3</t>
  </si>
  <si>
    <t>more of the same methos</t>
  </si>
  <si>
    <t>to generate samples (with similar behaviour to the same one)</t>
  </si>
  <si>
    <t>4, 13</t>
  </si>
  <si>
    <t>whole data</t>
  </si>
  <si>
    <t>split data into training (25%) and testing (75%)</t>
  </si>
  <si>
    <t>testing data + model</t>
  </si>
  <si>
    <t>Precision + accuracy</t>
  </si>
  <si>
    <t>to evaluate the their model (Alhazen) as a predictor</t>
  </si>
  <si>
    <t>10.1145 3338906.3340448</t>
  </si>
  <si>
    <t>1, 8</t>
  </si>
  <si>
    <t>page 886, section 2.2.1</t>
  </si>
  <si>
    <t>use coverage, fault detection rate, failure detection rate</t>
  </si>
  <si>
    <t>to meassure the model performance</t>
  </si>
  <si>
    <t>Test prioritization</t>
  </si>
  <si>
    <t>page 887, section 3.2</t>
  </si>
  <si>
    <t>text features</t>
  </si>
  <si>
    <t>tokenize without stop/control word removal or stemming.</t>
  </si>
  <si>
    <t>tokenize text</t>
  </si>
  <si>
    <t>tokenized text</t>
  </si>
  <si>
    <t>built term frequency matrix</t>
  </si>
  <si>
    <t>encode text</t>
  </si>
  <si>
    <t>term frequency matrix</t>
  </si>
  <si>
    <t>Normalized each row (feature vector for each test case) with L2-norm2</t>
  </si>
  <si>
    <t>3, 11</t>
  </si>
  <si>
    <t>use past results as features (result history)</t>
  </si>
  <si>
    <t>4, 12</t>
  </si>
  <si>
    <t>hibryd features (text + history)</t>
  </si>
  <si>
    <t>page 888, section 4.1</t>
  </si>
  <si>
    <t>collect data from previous runs of automated UI tests</t>
  </si>
  <si>
    <t>6, 14, 5, 15</t>
  </si>
  <si>
    <t>page 888, section 4.2</t>
  </si>
  <si>
    <t>model+ data</t>
  </si>
  <si>
    <t>state-of-the-art baselines 448</t>
  </si>
  <si>
    <t>to evaluate model performance</t>
  </si>
  <si>
    <t>page 890, section 4.3</t>
  </si>
  <si>
    <t>compare ovehead between</t>
  </si>
  <si>
    <t>to evaluate model performance in iverhead computing</t>
  </si>
  <si>
    <t>7, 17</t>
  </si>
  <si>
    <t>models performance</t>
  </si>
  <si>
    <t>Scott-Knott to compare models (their model + baseline)</t>
  </si>
  <si>
    <t>compare using statisical tests to determine significance</t>
  </si>
  <si>
    <t>Cliff’s Delta  to determine effect size</t>
  </si>
  <si>
    <t>10.1145 2786805.2786825</t>
  </si>
  <si>
    <t>page 534, section 3</t>
  </si>
  <si>
    <t>use six small C programs from programming courses</t>
  </si>
  <si>
    <t>to collect code data</t>
  </si>
  <si>
    <t>Program repair</t>
  </si>
  <si>
    <t>page 534, section 3.1</t>
  </si>
  <si>
    <t>remove code comments  and hash developers name</t>
  </si>
  <si>
    <t>anonime the dataset</t>
  </si>
  <si>
    <t>page 534, section 4.1</t>
  </si>
  <si>
    <t>anonimized data</t>
  </si>
  <si>
    <t>split data for training and testing</t>
  </si>
  <si>
    <t>prior models results</t>
  </si>
  <si>
    <t>direct comparision (no statistical methods) 825</t>
  </si>
  <si>
    <t>to evaluate different methods for the same task</t>
  </si>
  <si>
    <t>3, 9</t>
  </si>
  <si>
    <t>models + data</t>
  </si>
  <si>
    <t>evaluate relationships between results (before and after using models) with linera regresion</t>
  </si>
  <si>
    <t>understand relationship betwen results ( finding if there is a relation between a data characteristic and the performance)</t>
  </si>
  <si>
    <t>execute multiple times the model  (20 times)</t>
  </si>
  <si>
    <t>to achieve statistically significant results</t>
  </si>
  <si>
    <t>4, 11</t>
  </si>
  <si>
    <t>identify how overfitting affects</t>
  </si>
  <si>
    <t>to understand the impact of overfitting</t>
  </si>
  <si>
    <t>10.1109 ICSE.2012.6227129</t>
  </si>
  <si>
    <t>1, 9</t>
  </si>
  <si>
    <t>Page 907, section III</t>
  </si>
  <si>
    <t xml:space="preserve">boolean representation of the run data  </t>
  </si>
  <si>
    <t>use clope (clustering algorithms)</t>
  </si>
  <si>
    <t>to group similar highdimentional samples  ans use the groups to fit other model</t>
  </si>
  <si>
    <t>Test identification of configurations sets</t>
  </si>
  <si>
    <t>clusters identification + cluster data</t>
  </si>
  <si>
    <t>use decision trees</t>
  </si>
  <si>
    <t>to identify commonalities in attibutes of each cluster</t>
  </si>
  <si>
    <t>Page 907, section III; page 909, section IIV B 3</t>
  </si>
  <si>
    <t>use a votting mechanism</t>
  </si>
  <si>
    <t>to adaptively select an appropriate repulsion value for the CLOPE clustering algorithm</t>
  </si>
  <si>
    <t>page 908, section Iv</t>
  </si>
  <si>
    <t>choose tree algorithms based on popularity and prior research</t>
  </si>
  <si>
    <t>Page 908, section IV A</t>
  </si>
  <si>
    <t>use existing benchmarks</t>
  </si>
  <si>
    <t>assess performance</t>
  </si>
  <si>
    <t>Page 908, section IV B</t>
  </si>
  <si>
    <t>use boxplots</t>
  </si>
  <si>
    <t>to compare results</t>
  </si>
  <si>
    <t>Page 900, section V</t>
  </si>
  <si>
    <t>use state-of-the-art approaches 27129</t>
  </si>
  <si>
    <t>baseline comparison</t>
  </si>
  <si>
    <t>execute each approach 30 times</t>
  </si>
  <si>
    <t>to avoid race condiitions</t>
  </si>
  <si>
    <t>Model training</t>
  </si>
  <si>
    <t>use time series plot</t>
  </si>
  <si>
    <t>10.1145 3377811.3380399</t>
  </si>
  <si>
    <t>page 1413, section 4</t>
  </si>
  <si>
    <t>reinformcement learning with monte carlo control</t>
  </si>
  <si>
    <t>Tests generation</t>
  </si>
  <si>
    <t>page 1413, section 4.1.2</t>
  </si>
  <si>
    <t>reinforcement learnin with monte carlo control</t>
  </si>
  <si>
    <t>do not use discount factor in the reward function</t>
  </si>
  <si>
    <t>to not asume that later decisions are more important than earlier ones</t>
  </si>
  <si>
    <t>update an episode with a single reward</t>
  </si>
  <si>
    <t>10.1145 3368089.3409768</t>
  </si>
  <si>
    <t>page 308, section 3.1</t>
  </si>
  <si>
    <t>information related to incidents</t>
  </si>
  <si>
    <t>use natural language and component system dependency</t>
  </si>
  <si>
    <t>Incident linking</t>
  </si>
  <si>
    <t>incident textual description</t>
  </si>
  <si>
    <t xml:space="preserve"> text encoder</t>
  </si>
  <si>
    <t>to extract the semantic representation and deal with the challenges brought by thhat kind of data</t>
  </si>
  <si>
    <t>system components information</t>
  </si>
  <si>
    <t>use low-dimensional latent space</t>
  </si>
  <si>
    <t>to understand the system architecture and dependencies</t>
  </si>
  <si>
    <t>page 308, section 3.2</t>
  </si>
  <si>
    <t>use word-level embedding (FastText), + deep feature mapping, + semantic comprehension (neural network with fully-connected layers)</t>
  </si>
  <si>
    <t>To better extract the semantic features</t>
  </si>
  <si>
    <t>page 309, section 3.2</t>
  </si>
  <si>
    <t>fasttext</t>
  </si>
  <si>
    <t>to generate pre-trained word vectors on infrequent text by using sub-word vectors.</t>
  </si>
  <si>
    <t>3, 16</t>
  </si>
  <si>
    <t>use  Siamese neural network based on state-of the-art)</t>
  </si>
  <si>
    <t>for learning entity matching tasks</t>
  </si>
  <si>
    <t>page 309, section 3.3.2</t>
  </si>
  <si>
    <t>Component dependency</t>
  </si>
  <si>
    <t>Node2Vec</t>
  </si>
  <si>
    <t>Create embedding of dependencies</t>
  </si>
  <si>
    <t>5, 17</t>
  </si>
  <si>
    <t>page 309, section 4.1</t>
  </si>
  <si>
    <t>data collection from linked incidents from different services and components</t>
  </si>
  <si>
    <t>complete data</t>
  </si>
  <si>
    <t>split data into training and testing based on time</t>
  </si>
  <si>
    <t>page 310, section 4.2</t>
  </si>
  <si>
    <t>their model results and state-of-art-results</t>
  </si>
  <si>
    <t>use different baselines based on the state-of-the-art</t>
  </si>
  <si>
    <t>to compare their model performance with different baselines</t>
  </si>
  <si>
    <t>7, 8, 9, 20</t>
  </si>
  <si>
    <t>model + data</t>
  </si>
  <si>
    <t>F1, Precision, recall</t>
  </si>
  <si>
    <t>to evaluate their model performance</t>
  </si>
  <si>
    <t>their model results + baseline results</t>
  </si>
  <si>
    <t>direct comparision (no statistical methods)</t>
  </si>
  <si>
    <t>page 311, section 4.4</t>
  </si>
  <si>
    <t>Component vectors that represent the services of the system</t>
  </si>
  <si>
    <t>Identify whether the component vectors from the same service can be grouped together</t>
  </si>
  <si>
    <t>to evaluate Effectiveness of Component Representation</t>
  </si>
  <si>
    <t>page 311, section 4.5</t>
  </si>
  <si>
    <t>Model, Dataset</t>
  </si>
  <si>
    <t>Hyperparameter sensitivity analysis</t>
  </si>
  <si>
    <t>10.1145 3236024.3236059</t>
  </si>
  <si>
    <t>page 427, section 4</t>
  </si>
  <si>
    <t>small training disjoint from the rest + FUnc2Vec algorithm</t>
  </si>
  <si>
    <t>to tune models' hyper-parameter  (he walk length k was, the vector dimension d, the window size w )</t>
  </si>
  <si>
    <t>Code embeddings</t>
  </si>
  <si>
    <t>raw data</t>
  </si>
  <si>
    <t>build gold standard datasets ( sanity checks  + manually reviewed)</t>
  </si>
  <si>
    <t>to evaluate Func2vec (their model)</t>
  </si>
  <si>
    <t>page 428, Section 4</t>
  </si>
  <si>
    <t>ROC curve + K-Means F-score</t>
  </si>
  <si>
    <t>evaluate model</t>
  </si>
  <si>
    <t>func2vec vectors</t>
  </si>
  <si>
    <t>K-Means clustering</t>
  </si>
  <si>
    <t>to enable the comparision with the gold standard</t>
  </si>
  <si>
    <t>4, 9</t>
  </si>
  <si>
    <t>cluster of the K-Means clustering</t>
  </si>
  <si>
    <t>Precision, Recall, F-score</t>
  </si>
  <si>
    <t>page 427, Section 3.3</t>
  </si>
  <si>
    <t>vector of functions</t>
  </si>
  <si>
    <t>neural network, single-layer fully-connected neural network</t>
  </si>
  <si>
    <t>to train a model of building Code embeddings</t>
  </si>
  <si>
    <t>page 420, Section 5.2</t>
  </si>
  <si>
    <t>frequent itemset mining</t>
  </si>
  <si>
    <t>collect data in a usable structure</t>
  </si>
  <si>
    <t>10.1109 ICSE.2019.00086</t>
  </si>
  <si>
    <t>page 785, section III</t>
  </si>
  <si>
    <t>use a model ( Bi-GRU)</t>
  </si>
  <si>
    <t>to model the naturalness of code statements</t>
  </si>
  <si>
    <t>Code representation/embedding</t>
  </si>
  <si>
    <t>page 784, Section III A</t>
  </si>
  <si>
    <t>source code fragements</t>
  </si>
  <si>
    <t>build abstract syntax tree (AST)</t>
  </si>
  <si>
    <t>transform data in a usable structure</t>
  </si>
  <si>
    <t>Code summarization</t>
  </si>
  <si>
    <t>page 785, section III A</t>
  </si>
  <si>
    <t>abstract sintex tree</t>
  </si>
  <si>
    <t>split AST by sentences</t>
  </si>
  <si>
    <t>page 787, section III B.2</t>
  </si>
  <si>
    <t>data (code fragments)</t>
  </si>
  <si>
    <t>encode multiple code fragments simultaneously (Batch processing)</t>
  </si>
  <si>
    <t>For improving the training efficiency</t>
  </si>
  <si>
    <t>page 787, section III C</t>
  </si>
  <si>
    <t>Use a bidirectional GRU [34], where the hidden states of both directions are concatenated</t>
  </si>
  <si>
    <t>to further enhance the capability of the recurrent layer for capturing the dependency information</t>
  </si>
  <si>
    <t>3, 13</t>
  </si>
  <si>
    <t>page 788, section V A</t>
  </si>
  <si>
    <t>use two public dataset that are usually uased as code classification  and clone detection benchmarks</t>
  </si>
  <si>
    <t>to evaluate their approach</t>
  </si>
  <si>
    <t>page 788, section V B</t>
  </si>
  <si>
    <t>whole dataset</t>
  </si>
  <si>
    <t>randomly divide it into three parts,  60%, 20%, 20% for training, validation and testing</t>
  </si>
  <si>
    <t>split data based on their purpose</t>
  </si>
  <si>
    <t>page 789, Section V C.1</t>
  </si>
  <si>
    <t>Accuracy</t>
  </si>
  <si>
    <t>page 789, section V C.2</t>
  </si>
  <si>
    <t>Recall, Precision, F1</t>
  </si>
  <si>
    <t>4, 5, 6, 7</t>
  </si>
  <si>
    <t>page 789, section V C</t>
  </si>
  <si>
    <t>state-of-the-art baselines</t>
  </si>
  <si>
    <t>10.1145 2786805.2786849</t>
  </si>
  <si>
    <t>page 39, section 2</t>
  </si>
  <si>
    <t>data code</t>
  </si>
  <si>
    <t>use n-gram model</t>
  </si>
  <si>
    <t>to build intuition about the code</t>
  </si>
  <si>
    <t>Code completion</t>
  </si>
  <si>
    <t>use the top active programming languages (Java GitHub)  projects on a particular date (January 22nd 2015)</t>
  </si>
  <si>
    <t>select mature, active and diverse corpus with large development teams</t>
  </si>
  <si>
    <t>page 43, section 3</t>
  </si>
  <si>
    <t>split. data into training (70%) and testing (30%)</t>
  </si>
  <si>
    <t>3, 10</t>
  </si>
  <si>
    <t>model output: the retrieval over the subtokens of each correct token</t>
  </si>
  <si>
    <t>F1 score and the accuracy</t>
  </si>
  <si>
    <t>To measure the quality of a suggestion</t>
  </si>
  <si>
    <t>give partial credits when the predicted piece of code (predicted name) is not an exact match but shares subtokens with the correct piece of code (name)</t>
  </si>
  <si>
    <t>Substitue rare identifiers, subtokens and features with a special UNK token.</t>
  </si>
  <si>
    <t>model  + possible hyper-parameters</t>
  </si>
  <si>
    <t>picking the parameters that achieved the maximum likelihood in a held out validation set (the 10% of the training data)</t>
  </si>
  <si>
    <t>to tune models' hyper-parameter</t>
  </si>
  <si>
    <t>page: 43, section: 3</t>
  </si>
  <si>
    <t>model</t>
  </si>
  <si>
    <t>deployment will contain confidence filter to not annoy users</t>
  </si>
  <si>
    <t>to not annoy users</t>
  </si>
  <si>
    <t>Model Deployment</t>
  </si>
  <si>
    <t>page: 44, section: 4</t>
  </si>
  <si>
    <t>word embeddings</t>
  </si>
  <si>
    <t>exploration of generated vectorspace of the vocabulary</t>
  </si>
  <si>
    <t>see if similar vectors for words are qualitatively similar by inspection</t>
  </si>
  <si>
    <t>page: 45, section: 5</t>
  </si>
  <si>
    <t>comparison against state of the art 849</t>
  </si>
  <si>
    <t>to evaluate the model against others</t>
  </si>
  <si>
    <t>10.1145 3468264.3468565</t>
  </si>
  <si>
    <t>false positive</t>
  </si>
  <si>
    <t>10.1145 3238147.3238220</t>
  </si>
  <si>
    <t>page 523, section 4</t>
  </si>
  <si>
    <t>Linear-Time Temporal Logic (LTL) formulas</t>
  </si>
  <si>
    <t>genetic algorithm</t>
  </si>
  <si>
    <t>to train a model to find situations that capture divergences in the Linear-Time Temporal Logic formulation of the requirements specification</t>
  </si>
  <si>
    <t>Requirements conflicts detection</t>
  </si>
  <si>
    <t>page 523, section 4.1</t>
  </si>
  <si>
    <t>translate the formula to its definitional conjunctive normal form (dCNF)</t>
  </si>
  <si>
    <t>To represent an LTL formula as a chromosome</t>
  </si>
  <si>
    <t>page 525, section 5</t>
  </si>
  <si>
    <t>Model  + data LTL</t>
  </si>
  <si>
    <t>multiple benchmarks and  requirement specifications</t>
  </si>
  <si>
    <t>to evaluate their genetic algorithm for identifying boundary conditions</t>
  </si>
  <si>
    <t>page 525, section 5.1</t>
  </si>
  <si>
    <t>run multiple times the algorithm</t>
  </si>
  <si>
    <t>to evaluate their genetic algorithm to identify identifying at least one boundary condition</t>
  </si>
  <si>
    <t>minimum, maximum and average number of generations needed to learn the boundary condition</t>
  </si>
  <si>
    <t>5, 12</t>
  </si>
  <si>
    <t>time in seconds needed to learn the boundary condition</t>
  </si>
  <si>
    <t>page 525, section 5.2</t>
  </si>
  <si>
    <t>own results and state-of-art results</t>
  </si>
  <si>
    <t>use multiple techniques to compare results with state-of-the-art</t>
  </si>
  <si>
    <t>evaluate thei approach</t>
  </si>
  <si>
    <t>Page 527, section 5.3</t>
  </si>
  <si>
    <t>parameter sensitivity analysis</t>
  </si>
  <si>
    <t>assess impact of parameters on performance</t>
  </si>
  <si>
    <t>10.1145 3468264.3468539</t>
  </si>
  <si>
    <t>page 443, section 3.2</t>
  </si>
  <si>
    <t>Model + source code</t>
  </si>
  <si>
    <t>Use delta debugging to reduce  input size while keeping  the same prediction</t>
  </si>
  <si>
    <t>to  search for the 1-minimal input program that produces the same prediction as the original input program</t>
  </si>
  <si>
    <t>Explanations for code intelligence models</t>
  </si>
  <si>
    <t>page 444, section 4.1.1</t>
  </si>
  <si>
    <t>"paths" in the method’s AST, that connect one terminal (token) to another,</t>
  </si>
  <si>
    <t>Code2Seq</t>
  </si>
  <si>
    <t>to map paths into into a vector embedding</t>
  </si>
  <si>
    <t>Code2Vec</t>
  </si>
  <si>
    <t>page 444, section 4.1.2</t>
  </si>
  <si>
    <t xml:space="preserve">data for variable misuse </t>
  </si>
  <si>
    <t>Recurrent  neural network (bi-directional + GRU)</t>
  </si>
  <si>
    <t>to model variable misuse (bug)</t>
  </si>
  <si>
    <t>5, 13</t>
  </si>
  <si>
    <t>Transformer</t>
  </si>
  <si>
    <t>page 445, section 4.3</t>
  </si>
  <si>
    <t>choose random samples (correctly and wrongly predicted)</t>
  </si>
  <si>
    <t>to select data for testing</t>
  </si>
  <si>
    <t>8, 15</t>
  </si>
  <si>
    <t>page 445, section 4.4</t>
  </si>
  <si>
    <t>reduced data set + Original dataset for training</t>
  </si>
  <si>
    <t>size reduction ratio</t>
  </si>
  <si>
    <t>to evaluate the effectiveness of their model (Sivand)</t>
  </si>
  <si>
    <t>page 447, section 5.4</t>
  </si>
  <si>
    <t>Original dataset</t>
  </si>
  <si>
    <t>calculate the time neded for reducing original data</t>
  </si>
  <si>
    <t>to evaluate model performance based on time</t>
  </si>
  <si>
    <t>10.1145 3236024.3236058</t>
  </si>
  <si>
    <t>1, 4</t>
  </si>
  <si>
    <t>page 682, section 3.2</t>
  </si>
  <si>
    <t>failing tests</t>
  </si>
  <si>
    <t>clustering (based on origin and location)</t>
  </si>
  <si>
    <t>groups into categories</t>
  </si>
  <si>
    <t>Faulty tests identification</t>
  </si>
  <si>
    <t>2, 5, 6,</t>
  </si>
  <si>
    <t>page 685, section 5.1</t>
  </si>
  <si>
    <t>precision, recall, f measure</t>
  </si>
  <si>
    <t>3, 7</t>
  </si>
  <si>
    <t>state-of-the-art baselines (ReBucket, MSeer)</t>
  </si>
  <si>
    <t>Page 684, section 4.2</t>
  </si>
  <si>
    <t>use open source projects</t>
  </si>
  <si>
    <t>allow reproducibility</t>
  </si>
  <si>
    <t>Data collection</t>
  </si>
  <si>
    <t>10.1145 2491411.2491421</t>
  </si>
  <si>
    <t>page 514, section 4</t>
  </si>
  <si>
    <t>data clustering and pattern generation</t>
  </si>
  <si>
    <t>to generate testes based on interface descriptions</t>
  </si>
  <si>
    <t>page 514, section 4.1 y 4.2</t>
  </si>
  <si>
    <t>Json AIL (Ajax server Interface description Language) response and request pairs</t>
  </si>
  <si>
    <t>clustering</t>
  </si>
  <si>
    <t>organizing the input samples into distinct clusters such that each cluster corresponds to a “likely” operation descriptor</t>
  </si>
  <si>
    <t>page 517, section 5.2</t>
  </si>
  <si>
    <t>manually collection ( they install and exercise applications by manually clicking on visual elements and enter data into forms for a few minutes, while the web proxy monitors all Ajax communication)</t>
  </si>
  <si>
    <t>to collect training data</t>
  </si>
  <si>
    <t>10.1145 2351676.2351703</t>
  </si>
  <si>
    <t>page 192, section 3.1.1</t>
  </si>
  <si>
    <t>measurement points space options</t>
  </si>
  <si>
    <t>random selection (Equidistant random Breakdown )</t>
  </si>
  <si>
    <t>selects a fixed number of measurement</t>
  </si>
  <si>
    <t>Performance engineering</t>
  </si>
  <si>
    <t>2, 16</t>
  </si>
  <si>
    <t>page 192, section 3.1.2</t>
  </si>
  <si>
    <t>Adaptive Equidistant Breakdown</t>
  </si>
  <si>
    <t>3, 17</t>
  </si>
  <si>
    <t>page 192, section 3.1.3</t>
  </si>
  <si>
    <t>Adaptive Random Breakdown</t>
  </si>
  <si>
    <t>4, 18</t>
  </si>
  <si>
    <t>page 194, section 3.2.1</t>
  </si>
  <si>
    <t>predictions of the model</t>
  </si>
  <si>
    <t>Random Validation Set + average relative error</t>
  </si>
  <si>
    <t>to predict performance when selecting points of meassure</t>
  </si>
  <si>
    <t>Dynamic sector(threshold + eprediction error)</t>
  </si>
  <si>
    <t>6, 20</t>
  </si>
  <si>
    <t>page 194, section 4.1</t>
  </si>
  <si>
    <t>Multivariate Adaptive Regression Splines (MARS)</t>
  </si>
  <si>
    <t>to inference of performance metrics</t>
  </si>
  <si>
    <t>7, 21</t>
  </si>
  <si>
    <t>page 194, section 4.2</t>
  </si>
  <si>
    <t>Classification and Regression Trees (CART)</t>
  </si>
  <si>
    <t>8, 22</t>
  </si>
  <si>
    <t>page 194, section 4.3</t>
  </si>
  <si>
    <t>Genetic Programming (GP)</t>
  </si>
  <si>
    <t>9, 23</t>
  </si>
  <si>
    <t>page 194, section 4.4</t>
  </si>
  <si>
    <t>Kriging</t>
  </si>
  <si>
    <t>10, 24</t>
  </si>
  <si>
    <t>mean relative error (MRE), used measurement points (MP)</t>
  </si>
  <si>
    <t>12, 13, 14</t>
  </si>
  <si>
    <t>page 196, Section 6</t>
  </si>
  <si>
    <t>Statistical model, validation data</t>
  </si>
  <si>
    <t>Measure highest error (HE), Measure predictions with error of less than 15% (LT15), Measure predictions with error of less than 30% (LT30)</t>
  </si>
  <si>
    <t>to evaluate model performance  in a complete manner and conclude correctly</t>
  </si>
  <si>
    <t>10.1145 2568225.2568260</t>
  </si>
  <si>
    <t>page 347, section 3</t>
  </si>
  <si>
    <t>use multiple machine learning models</t>
  </si>
  <si>
    <t>to retrieve dominan features of pull requests prior to their classification</t>
  </si>
  <si>
    <t>Pull request classification</t>
  </si>
  <si>
    <t>page 348, section 3</t>
  </si>
  <si>
    <t>Use models based on their known performance in large datasets and anlso based on that they have been used by the authir in previous studies</t>
  </si>
  <si>
    <t>page 349, section 4.2</t>
  </si>
  <si>
    <t>initial set of features</t>
  </si>
  <si>
    <t>use Spearman rank correlation p = +- 0.7</t>
  </si>
  <si>
    <t>to filter sufficiently independent features</t>
  </si>
  <si>
    <t>independent features</t>
  </si>
  <si>
    <t>remove features that could not be calculated reliably at the time a pull request was done</t>
  </si>
  <si>
    <t>to keep only reliable features on PR time</t>
  </si>
  <si>
    <t>indenpendent and reliable features</t>
  </si>
  <si>
    <t>merge similar features</t>
  </si>
  <si>
    <t>model + testing data</t>
  </si>
  <si>
    <t>Use Accuracy</t>
  </si>
  <si>
    <t>to evaluate the classification performance</t>
  </si>
  <si>
    <t>Area under the receiver operating characteristic Curve (AUC)</t>
  </si>
  <si>
    <t>model + training data</t>
  </si>
  <si>
    <t>10 fold random slection cross-validation + mean values for each classification metric</t>
  </si>
  <si>
    <t>page 351, section 7</t>
  </si>
  <si>
    <t>all filtered features + best classification model (random forest)</t>
  </si>
  <si>
    <t>use the process suggested by Genuer et al.  (run random forest 50 times, on a randomly selected sample of size n, using a large number of generated trees and 5 radom variables per split) + mean decrease in accuracy</t>
  </si>
  <si>
    <t>To extract the features that are important for each classification task (and its importance)</t>
  </si>
  <si>
    <t>ranked features + model</t>
  </si>
  <si>
    <t>re-run 10 fold cross-validation with increasing number of predictor features starting with most important one</t>
  </si>
  <si>
    <t>to validate the feature selection</t>
  </si>
  <si>
    <t>10.1109 ICSE.2013.6606653</t>
  </si>
  <si>
    <t>page 1034, section III A</t>
  </si>
  <si>
    <t>use BUGZILLA API</t>
  </si>
  <si>
    <t>to collect data (bug reports)</t>
  </si>
  <si>
    <t>Bug report classification</t>
  </si>
  <si>
    <t>page: 1037, section: IV a</t>
  </si>
  <si>
    <t>statistical test for median of 2 popuilations (or rather stochastic dominance) Wilcoxon-Mann-Whitney</t>
  </si>
  <si>
    <t>to infer the stochastic ordering of the distributions (Significance of performance difference)</t>
  </si>
  <si>
    <t>4, 7</t>
  </si>
  <si>
    <t>page 1038, section V</t>
  </si>
  <si>
    <t>data + classification model</t>
  </si>
  <si>
    <t>use precision, recall and the corresponding F- score (i.e. equally weighted precision and recall)</t>
  </si>
  <si>
    <t>3, 8</t>
  </si>
  <si>
    <t>compare machine learning approach for classification (SVM) with 2 simple baselines (binary and thresholding)</t>
  </si>
  <si>
    <t>to evaluate model</t>
  </si>
  <si>
    <t>5, 9</t>
  </si>
  <si>
    <t>page: 1039, section: V</t>
  </si>
  <si>
    <t>tran a SVM</t>
  </si>
  <si>
    <t>for bug report classification</t>
  </si>
  <si>
    <t>use only the 5% of the data to train the model</t>
  </si>
  <si>
    <t>train SVM model</t>
  </si>
  <si>
    <t>10.1145 2642937.2642985</t>
  </si>
  <si>
    <t>Page 666, Section 2.2</t>
  </si>
  <si>
    <t>Test data</t>
  </si>
  <si>
    <t>Naive heuristic as baseline</t>
  </si>
  <si>
    <t>Comparison to simple approach</t>
  </si>
  <si>
    <t>Prediction of relevant change sets</t>
  </si>
  <si>
    <t>Page 667, Section 2.2</t>
  </si>
  <si>
    <t>Complex heuristics as baseline</t>
  </si>
  <si>
    <t>Comparison to sophisticated engineered heuristics</t>
  </si>
  <si>
    <t>Page 667, Section 2.3</t>
  </si>
  <si>
    <t>Mathematical definitinion of features</t>
  </si>
  <si>
    <t>Page 671, Section 3.3.2</t>
  </si>
  <si>
    <t>Training data</t>
  </si>
  <si>
    <t>Conjective rule as classifier</t>
  </si>
  <si>
    <t>Predict relevant change sets</t>
  </si>
  <si>
    <t>5, 11</t>
  </si>
  <si>
    <t>C4.5 decision tree as classifier</t>
  </si>
  <si>
    <t>6, 11</t>
  </si>
  <si>
    <t>Naive Bayes as classifier</t>
  </si>
  <si>
    <t>page 669, section 3.3</t>
  </si>
  <si>
    <t>40 medium-to-large open-source projects. (top list of top-starred Java Projects )</t>
  </si>
  <si>
    <t>for predict relevant change set</t>
  </si>
  <si>
    <t>page 670, section 3.3</t>
  </si>
  <si>
    <t>binary logistic regression</t>
  </si>
  <si>
    <t>present the z-score, estimates and p-values for the binary logistic regression</t>
  </si>
  <si>
    <t>page 671, section 3.3</t>
  </si>
  <si>
    <t>Wald test</t>
  </si>
  <si>
    <t>to determine how well each predictor is significant.</t>
  </si>
  <si>
    <t>7, 15</t>
  </si>
  <si>
    <t>10-fold cross-validation</t>
  </si>
  <si>
    <t>Measure model performance</t>
  </si>
  <si>
    <t>8, 16, 9</t>
  </si>
  <si>
    <t>Measure precision + recall</t>
  </si>
  <si>
    <t>Precision, Recall</t>
  </si>
  <si>
    <t>Plot precision against recall</t>
  </si>
  <si>
    <t>Visualize tradeoff in model performance</t>
  </si>
  <si>
    <t>10.1145 3368089.3409754</t>
  </si>
  <si>
    <t>1,14</t>
  </si>
  <si>
    <t>page 853, section 3.2</t>
  </si>
  <si>
    <t>model + dataset</t>
  </si>
  <si>
    <t>use neuron coverage</t>
  </si>
  <si>
    <t>measure neuron coverage</t>
  </si>
  <si>
    <t>deep learning testing</t>
  </si>
  <si>
    <t>2,17</t>
  </si>
  <si>
    <t>page 854, section 3.3</t>
  </si>
  <si>
    <t>Projected Gradient Descent adversarial attack</t>
  </si>
  <si>
    <t>test generation</t>
  </si>
  <si>
    <t>2,18,15, 3, 23, 16</t>
  </si>
  <si>
    <t>page 854, section 3.4</t>
  </si>
  <si>
    <t>extend CW attack with new diversity-promoting regularizer</t>
  </si>
  <si>
    <t>increase neuron coverage while leveraging the skeleton of existing adversarial attacks (add more attacks) in testing (test generation)</t>
  </si>
  <si>
    <t>4, 10</t>
  </si>
  <si>
    <t>page 855, section 4</t>
  </si>
  <si>
    <t>images</t>
  </si>
  <si>
    <t>randomly select 100 images such that each class is equally represented</t>
  </si>
  <si>
    <t>construct a test suite in which each class is equally represented</t>
  </si>
  <si>
    <t>5,25</t>
  </si>
  <si>
    <t>test suites, models</t>
  </si>
  <si>
    <t>use 2,095 test suites to measure the strength, direction, and significance of correlation</t>
  </si>
  <si>
    <t>to measure the strength, direction, and significance of correlation (attack succes rate and neuron coverage)</t>
  </si>
  <si>
    <t>6,27</t>
  </si>
  <si>
    <t>page 856, section 4.1.1</t>
  </si>
  <si>
    <t>models, dataset</t>
  </si>
  <si>
    <t>use  attack success rate (ASR) and defect detection rate (DDR)</t>
  </si>
  <si>
    <t>to evaluate defect detection</t>
  </si>
  <si>
    <t>7,28</t>
  </si>
  <si>
    <t>descritize regression values in order to use the same metric as classification</t>
  </si>
  <si>
    <t>to evaluate defect detection in regression tasks (as classification task)</t>
  </si>
  <si>
    <t>8,13</t>
  </si>
  <si>
    <t>page 856, section 4.2.1</t>
  </si>
  <si>
    <t>use Inception Score (IS) and Frèchet Inception Distance (FID)</t>
  </si>
  <si>
    <t>measure the naturalness of images</t>
  </si>
  <si>
    <t>29</t>
  </si>
  <si>
    <t>page 855, section 4.2</t>
  </si>
  <si>
    <t>their Deep neural models + Datasets</t>
  </si>
  <si>
    <t>Pielou’s evenness score (a theoretically grounded measure of biodiversity, Output Impartiality)</t>
  </si>
  <si>
    <t>to assess the skew of the skew of the output class distribution</t>
  </si>
  <si>
    <t>9</t>
  </si>
  <si>
    <t>page 857, section 4.3.1</t>
  </si>
  <si>
    <t>test suite</t>
  </si>
  <si>
    <t>use output impartiality metric</t>
  </si>
  <si>
    <t>measure the impartiality of model predictions</t>
  </si>
  <si>
    <t>11</t>
  </si>
  <si>
    <t>page 857, section 4.3.3</t>
  </si>
  <si>
    <t>test set</t>
  </si>
  <si>
    <t>uses avarage NC rank</t>
  </si>
  <si>
    <t>measure likelihood of being over-represented</t>
  </si>
  <si>
    <t>12</t>
  </si>
  <si>
    <t>page 853, section 3.1</t>
  </si>
  <si>
    <t>use 3 different popular datasets (CIFAR,  MNIST, UDACITY SELF DRIVIG CAR)</t>
  </si>
  <si>
    <t>19</t>
  </si>
  <si>
    <t xml:space="preserve">their Deep neural models + DL task + Carlini-Wagner </t>
  </si>
  <si>
    <t>loss function provided by Carlini and Wagner</t>
  </si>
  <si>
    <t>Test generation for classification tasks (CW)</t>
  </si>
  <si>
    <t>20</t>
  </si>
  <si>
    <t>their Deep neural models + DL task + Projected Gradient Descent</t>
  </si>
  <si>
    <t>For the loss function, they choose the cross-entropy loss</t>
  </si>
  <si>
    <t>Test generation for classification tasks</t>
  </si>
  <si>
    <t>21</t>
  </si>
  <si>
    <t>For the loss function, they choose the mean square error</t>
  </si>
  <si>
    <t>Test generation for regression tasks</t>
  </si>
  <si>
    <t>22</t>
  </si>
  <si>
    <t>their Deep neural models + Projected Gradient Descent</t>
  </si>
  <si>
    <t>Change the perturbation limit  {0.1, 0.2, 0.3}</t>
  </si>
  <si>
    <t>Explore possible effects on Neurin coverage of perturbation attacks</t>
  </si>
  <si>
    <t>24</t>
  </si>
  <si>
    <t>Neural network</t>
  </si>
  <si>
    <t>Kullback-Leibler</t>
  </si>
  <si>
    <t>to implement the divergence function in their personalized penalizationn function for skewed layer-wise activations</t>
  </si>
  <si>
    <t>26</t>
  </si>
  <si>
    <t>results from neuron coverage in their deep neural networks</t>
  </si>
  <si>
    <t>discard not significant results (p value &gt; 0.05)</t>
  </si>
  <si>
    <t>to discount them in subsequent analysis of the model evaluation</t>
  </si>
  <si>
    <t>10.1145 3368089.3409704</t>
  </si>
  <si>
    <t>10.1145 3236024.3236050</t>
  </si>
  <si>
    <t>1</t>
  </si>
  <si>
    <t>page 459, section 2.2</t>
  </si>
  <si>
    <t>code</t>
  </si>
  <si>
    <t>CK-OO metrics</t>
  </si>
  <si>
    <t>to compute features</t>
  </si>
  <si>
    <t>Defect prediction</t>
  </si>
  <si>
    <t>2,7</t>
  </si>
  <si>
    <t>page 460, section 3.2</t>
  </si>
  <si>
    <t>github issues, repository</t>
  </si>
  <si>
    <t>for three consecutive releases, use first two versions to track attribute changes and the third version for testing</t>
  </si>
  <si>
    <t>8</t>
  </si>
  <si>
    <t>dataset without versioning use cross validation (K = 10)</t>
  </si>
  <si>
    <t>ensure that training data and test are different, while doing cross validation</t>
  </si>
  <si>
    <t>6</t>
  </si>
  <si>
    <t>page 460, section 3.1</t>
  </si>
  <si>
    <t>Use selected public available datasets that have more than one release</t>
  </si>
  <si>
    <t>3,4,9</t>
  </si>
  <si>
    <t>page 461, section 3.3</t>
  </si>
  <si>
    <t>randomly select baselines models based on randomly state-of-the-art  (Simple Logistic (SL), Naive Bayes (NB), Expectation Maximization (EM), Sequential Minimal Optimization (SMO).) and new approach use Fast-and-Frugal Trees (FFT)</t>
  </si>
  <si>
    <t>5,10</t>
  </si>
  <si>
    <t>page 461, section 3.4</t>
  </si>
  <si>
    <t>dataset, models</t>
  </si>
  <si>
    <t>use dis2heaven and P_opt metrics, Recall, false positive rate, distance to heavem (sqr (((1-recall)^2 +FAR^2)/2)</t>
  </si>
  <si>
    <t>score measures:</t>
  </si>
  <si>
    <t>10.1145 2568225.2568266</t>
  </si>
  <si>
    <t>page 408, section 4.3</t>
  </si>
  <si>
    <t>sensor data</t>
  </si>
  <si>
    <t>Naive Bayes</t>
  </si>
  <si>
    <t>predict the diﬃculty of the task</t>
  </si>
  <si>
    <t>Code comprehension</t>
  </si>
  <si>
    <t>2</t>
  </si>
  <si>
    <t>divide up the data collection into sliding time windows.</t>
  </si>
  <si>
    <t>create a classiﬁer usable before a developer ﬁnished his task that would adjust to his changing psycho-physiological conditions.</t>
  </si>
  <si>
    <t>3</t>
  </si>
  <si>
    <t>page 409, section 4.3</t>
  </si>
  <si>
    <t>eye tracking measurements</t>
  </si>
  <si>
    <t>remove measurements that correlated almost perfectly with measurements left</t>
  </si>
  <si>
    <t>ensure correct performance for Naive Bayes</t>
  </si>
  <si>
    <t>4</t>
  </si>
  <si>
    <t>page 406, section 4.1</t>
  </si>
  <si>
    <t>remove noise (invalid data points from sensors)</t>
  </si>
  <si>
    <t>to standarize and normalize eye tracker data</t>
  </si>
  <si>
    <t>5</t>
  </si>
  <si>
    <t>page 406-408, section 4.1</t>
  </si>
  <si>
    <t>clean sensor data based on knwolege background about the sensors and type of data</t>
  </si>
  <si>
    <t>to clean sensor data</t>
  </si>
  <si>
    <t>page 408, section 4.2</t>
  </si>
  <si>
    <t>use specialised  metrics</t>
  </si>
  <si>
    <t>to ensure a right evaluation</t>
  </si>
  <si>
    <t>10.1145 1985793.1985859</t>
  </si>
  <si>
    <t>1 and 5 merge</t>
  </si>
  <si>
    <t>483-4.2</t>
  </si>
  <si>
    <t>Label flipping</t>
  </si>
  <si>
    <t>Make noisy data</t>
  </si>
  <si>
    <t>2 and 5 merge</t>
  </si>
  <si>
    <t>484-4.2</t>
  </si>
  <si>
    <t>Dataset, Model</t>
  </si>
  <si>
    <t>10 fold cross validation</t>
  </si>
  <si>
    <t>Model validation</t>
  </si>
  <si>
    <t>484, 4.2</t>
  </si>
  <si>
    <t>use bayes net classifier from weka</t>
  </si>
  <si>
    <t>good performance when dealing with a large number of variables with much variance in values</t>
  </si>
  <si>
    <t>3 and 7 to 3</t>
  </si>
  <si>
    <t>484, 4.3</t>
  </si>
  <si>
    <t>Dummy predictor + their model and data</t>
  </si>
  <si>
    <t>use random baseline based on class distribution</t>
  </si>
  <si>
    <t>effective model should outperform random guessing</t>
  </si>
  <si>
    <t>484-4.3</t>
  </si>
  <si>
    <t>F-measure, precision, recall h</t>
  </si>
  <si>
    <t>Model evaluation</t>
  </si>
  <si>
    <t>486, 5.2</t>
  </si>
  <si>
    <t>instances</t>
  </si>
  <si>
    <t>use complexity, OO, change and developer metrics</t>
  </si>
  <si>
    <t>metrics capture different aspects of a file</t>
  </si>
  <si>
    <t>10.1109 ASE.2017.8115626</t>
  </si>
  <si>
    <t>138, IV.A.1</t>
  </si>
  <si>
    <t>commits messages</t>
  </si>
  <si>
    <t>Use only first sentences of comment</t>
  </si>
  <si>
    <t>Data filtering</t>
  </si>
  <si>
    <t>Commit message generation</t>
  </si>
  <si>
    <t>2 and 10 are merged (unified)</t>
  </si>
  <si>
    <t>Vocabulary filtering (remove issue and commit ids)</t>
  </si>
  <si>
    <t>Decrease the size of the vocabulary to decrease the memory needed ( those are unique ids; increase vocabularies; it cause large memory use of NMT)</t>
  </si>
  <si>
    <t>139, IV.A.1</t>
  </si>
  <si>
    <t>remove merge and rollback commits</t>
  </si>
  <si>
    <t>NMT is not suitable to translate those commits</t>
  </si>
  <si>
    <t>tokenize (punctuation and whitespaces)</t>
  </si>
  <si>
    <t>139,  IV.A.1</t>
  </si>
  <si>
    <t>do not split camelcase</t>
  </si>
  <si>
    <t>identifiers are treated as individual words</t>
  </si>
  <si>
    <t>3 and. 14 to 24</t>
  </si>
  <si>
    <t>139,  IV.A.2</t>
  </si>
  <si>
    <t>set max sequence lengths for NMT (Neural machine translation) source and target sequences</t>
  </si>
  <si>
    <t>139,  IV.A.3</t>
  </si>
  <si>
    <t>use verb-direct object filter</t>
  </si>
  <si>
    <t>remove poorly written commit messages</t>
  </si>
  <si>
    <t>4 and 16 to 16</t>
  </si>
  <si>
    <t>139,  IV.A.4</t>
  </si>
  <si>
    <t>commit messages</t>
  </si>
  <si>
    <t>data splitting (train/validation/test sets)</t>
  </si>
  <si>
    <t>to have independent sets</t>
  </si>
  <si>
    <t>5 and 17</t>
  </si>
  <si>
    <t>139,  IV.B</t>
  </si>
  <si>
    <t>use NMT (nematus - proven architecture)</t>
  </si>
  <si>
    <t>automatically generate commits messages</t>
  </si>
  <si>
    <t>139,  IV.B.2</t>
  </si>
  <si>
    <t>training set</t>
  </si>
  <si>
    <t>reshuffle training set for each epoch</t>
  </si>
  <si>
    <t>139- IV</t>
  </si>
  <si>
    <t>Model</t>
  </si>
  <si>
    <t>Adadelta, early stopping</t>
  </si>
  <si>
    <t>to train a model for commit message generation</t>
  </si>
  <si>
    <t xml:space="preserve"> 140,  IV.B.2</t>
  </si>
  <si>
    <t>models</t>
  </si>
  <si>
    <t>save models after X mini-batches</t>
  </si>
  <si>
    <t>use the last Y models and use a ensemble for evaluation</t>
  </si>
  <si>
    <t xml:space="preserve"> 140,  V.A</t>
  </si>
  <si>
    <t>use state-of-the-art approaches 5626</t>
  </si>
  <si>
    <t>9 and 21</t>
  </si>
  <si>
    <t xml:space="preserve"> 140,  V.B</t>
  </si>
  <si>
    <t>use BLEU metric</t>
  </si>
  <si>
    <t xml:space="preserve"> 144,  X.I</t>
  </si>
  <si>
    <t>replication package publicly available</t>
  </si>
  <si>
    <t>Other</t>
  </si>
  <si>
    <t xml:space="preserve"> 143,  VIII.A</t>
  </si>
  <si>
    <t>diffs</t>
  </si>
  <si>
    <t>tfidf</t>
  </si>
  <si>
    <t>represent diffs as vectors</t>
  </si>
  <si>
    <t>diffs and labels</t>
  </si>
  <si>
    <t>use SVM</t>
  </si>
  <si>
    <t>predict if the NMT will generate a bad message</t>
  </si>
  <si>
    <t xml:space="preserve"> 143,  VIII.B</t>
  </si>
  <si>
    <t>10-fold cross validation</t>
  </si>
  <si>
    <t>use precision and recall</t>
  </si>
  <si>
    <t>10.1145 3180155.3180207</t>
  </si>
  <si>
    <t>839, 3.3</t>
  </si>
  <si>
    <t>split train / test split</t>
  </si>
  <si>
    <t>Bug report linking</t>
  </si>
  <si>
    <t>840, 3.4</t>
  </si>
  <si>
    <t>training instances</t>
  </si>
  <si>
    <t>sub-sampling (from weka) to create balance datasets</t>
  </si>
  <si>
    <t>to prevent the classifier from placing everything in the majority class</t>
  </si>
  <si>
    <t>balanced training instances</t>
  </si>
  <si>
    <t>repeat training and testing 10 times</t>
  </si>
  <si>
    <t>to mitigate the random effects of sub-sampling</t>
  </si>
  <si>
    <t>15 and 2</t>
  </si>
  <si>
    <t>confusion matrix</t>
  </si>
  <si>
    <t>commonly used model performance metrics: precision, recall, F1, also F2 and F0.5 to favor recall and precision</t>
  </si>
  <si>
    <t>F2, F0.5 for considering scenarios where recall or precision is more important</t>
  </si>
  <si>
    <t>840- 4</t>
  </si>
  <si>
    <t>use Issue tracker data, commits</t>
  </si>
  <si>
    <t>3, 4 and 8 to 11</t>
  </si>
  <si>
    <t>TP, TN, FP, FN, Precision, racall</t>
  </si>
  <si>
    <t>5,6 and 7</t>
  </si>
  <si>
    <t>Naive Bayes, Decision tree, J48, Random Forest</t>
  </si>
  <si>
    <t>to categorizing commit-issue pairs as linked or non-linked.</t>
  </si>
  <si>
    <t>10.1145 2950290.2950324</t>
  </si>
  <si>
    <t>552, 3.4.1</t>
  </si>
  <si>
    <t>commits</t>
  </si>
  <si>
    <t>manual classification before training</t>
  </si>
  <si>
    <t>to avoid a sample with low statistical power</t>
  </si>
  <si>
    <t>Bug-fixing commit classification</t>
  </si>
  <si>
    <t>552, 3.4.2</t>
  </si>
  <si>
    <t>manually classified commits</t>
  </si>
  <si>
    <t>use Cohen Kappa</t>
  </si>
  <si>
    <t>to check manual classification agreement, interrater agreement</t>
  </si>
  <si>
    <t>data + model</t>
  </si>
  <si>
    <t>12-fold cross validation</t>
  </si>
  <si>
    <t>classifiers results</t>
  </si>
  <si>
    <t>use f-1 score</t>
  </si>
  <si>
    <t>use naive bayes and SVM</t>
  </si>
  <si>
    <t>classify bug inducing commits</t>
  </si>
  <si>
    <t>10.1145 3377811.3380370</t>
  </si>
  <si>
    <t>376, 3.1</t>
  </si>
  <si>
    <t>mean squared error</t>
  </si>
  <si>
    <t>376-3.1</t>
  </si>
  <si>
    <t>Program</t>
  </si>
  <si>
    <t>Dynamical System approximation (System identification)</t>
  </si>
  <si>
    <t>to automatically build mathematical models of dynamical systems</t>
  </si>
  <si>
    <t>379-4.1</t>
  </si>
  <si>
    <t>Program, Approximated Model</t>
  </si>
  <si>
    <t>the number of iterations that ARIsTEO requires to reveal a requirement violation</t>
  </si>
  <si>
    <t>Efficiency (evaluate)</t>
  </si>
  <si>
    <t>the number of ARIsTEO runs (out of 100) that can reveal a violation in a model</t>
  </si>
  <si>
    <t>Effectiveness</t>
  </si>
  <si>
    <t>10.1145 3106237.3106285</t>
  </si>
  <si>
    <t>397-2.2</t>
  </si>
  <si>
    <t>Open Repositories</t>
  </si>
  <si>
    <t>Dataset creation</t>
  </si>
  <si>
    <t>Bug report defect detection</t>
  </si>
  <si>
    <t>random Sampling</t>
  </si>
  <si>
    <t>398-2.3</t>
  </si>
  <si>
    <t>Open Coding</t>
  </si>
  <si>
    <t>4 and 15</t>
  </si>
  <si>
    <t>401, 3.3</t>
  </si>
  <si>
    <t>bug descriptions</t>
  </si>
  <si>
    <t>use POS tags</t>
  </si>
  <si>
    <t>capture the type of vocabulary used in the bug descriptions</t>
  </si>
  <si>
    <t>5 and 14</t>
  </si>
  <si>
    <t>use n-grams</t>
  </si>
  <si>
    <t>capture the vocabulary of bug descriptions</t>
  </si>
  <si>
    <t>6 and 16</t>
  </si>
  <si>
    <t>features</t>
  </si>
  <si>
    <t>uses linear Support Vector Machines (SVMs)</t>
  </si>
  <si>
    <t>classify the bug reports as missing or not missing EB and S2R</t>
  </si>
  <si>
    <t>uses discourse patterns</t>
  </si>
  <si>
    <t>to represent features</t>
  </si>
  <si>
    <t>7 and 19</t>
  </si>
  <si>
    <t>401, 3.4</t>
  </si>
  <si>
    <t>use stemming</t>
  </si>
  <si>
    <t>text preprocessing</t>
  </si>
  <si>
    <t>8 and 19</t>
  </si>
  <si>
    <t>401-3.4</t>
  </si>
  <si>
    <t>stop word removal</t>
  </si>
  <si>
    <t>remove uninformative text (e.g., code, log)</t>
  </si>
  <si>
    <t>reduce noise</t>
  </si>
  <si>
    <t>replace URL, remove special characters, numbers, single characters, and tokens starting with numbers</t>
  </si>
  <si>
    <t>text preprocessing, cleaning noise</t>
  </si>
  <si>
    <t>402-3.4</t>
  </si>
  <si>
    <t>Model + bug reports</t>
  </si>
  <si>
    <t>Parameter tunning (70%, 20%, and 10% of the dataset for training, parameter tuning, and testing)</t>
  </si>
  <si>
    <t>split data</t>
  </si>
  <si>
    <t>Parameter tunning</t>
  </si>
  <si>
    <t>to optimize the model</t>
  </si>
  <si>
    <t>402, 3.4</t>
  </si>
  <si>
    <t>models and dataset</t>
  </si>
  <si>
    <t>to evaluate the model</t>
  </si>
  <si>
    <t>10, 11, 12 and 22</t>
  </si>
  <si>
    <t>precision, recall, f1-score</t>
  </si>
  <si>
    <t>10.1145 2950290.2950319</t>
  </si>
  <si>
    <t>1 and 10</t>
  </si>
  <si>
    <t>255-1</t>
  </si>
  <si>
    <t>use Github repositories (public data)</t>
  </si>
  <si>
    <t>API Mining</t>
  </si>
  <si>
    <t>255-2</t>
  </si>
  <si>
    <t>Code</t>
  </si>
  <si>
    <t>Code filtering keeping only fragments with API calls</t>
  </si>
  <si>
    <t>258-4.1</t>
  </si>
  <si>
    <t>Sequence of API calls</t>
  </si>
  <si>
    <t>Probabilistic model</t>
  </si>
  <si>
    <t>for mining the most interesting API call patterns</t>
  </si>
  <si>
    <t>4 and 8</t>
  </si>
  <si>
    <t>258-4, 260 4.5</t>
  </si>
  <si>
    <t>use Structural Expectation Maximization</t>
  </si>
  <si>
    <t>Model optimization</t>
  </si>
  <si>
    <t xml:space="preserve">259, 4.2 </t>
  </si>
  <si>
    <t>patterns</t>
  </si>
  <si>
    <t>Inference of terms</t>
  </si>
  <si>
    <t>compete two patterns with each other to explain a client method</t>
  </si>
  <si>
    <t>5 and 11</t>
  </si>
  <si>
    <t>260-5</t>
  </si>
  <si>
    <t>train test datasets (50/50)</t>
  </si>
  <si>
    <t>data split</t>
  </si>
  <si>
    <t>6 and 9</t>
  </si>
  <si>
    <t>260, 5</t>
  </si>
  <si>
    <t>test data and model</t>
  </si>
  <si>
    <t>10.1145 3324884.3416591</t>
  </si>
  <si>
    <t>476,  3.1</t>
  </si>
  <si>
    <t>Code tokens</t>
  </si>
  <si>
    <t>Use transformer (multi-attention head) architecture for code modelling</t>
  </si>
  <si>
    <t>for code modelling</t>
  </si>
  <si>
    <t>Self-supervised learning for pre-training of neural network</t>
  </si>
  <si>
    <t>Learn code structure and understanding on a large data set</t>
  </si>
  <si>
    <t>removed</t>
  </si>
  <si>
    <t>476,  3.2</t>
  </si>
  <si>
    <t>Use dictionary to convert code to numeric tokens</t>
  </si>
  <si>
    <t>Tokenize input for ML model</t>
  </si>
  <si>
    <t>2 and 13, 11</t>
  </si>
  <si>
    <t>477,  3.3</t>
  </si>
  <si>
    <t>Pre-training data</t>
  </si>
  <si>
    <t>Use Masked bidirectional Language Modeling</t>
  </si>
  <si>
    <t>Use well-understood pre-training task</t>
  </si>
  <si>
    <t>3 and 14, 11</t>
  </si>
  <si>
    <t>Use Next Code Segment prediction</t>
  </si>
  <si>
    <t>Use well-understood pre-training task ( to pretrain a model for code understanding and completion)</t>
  </si>
  <si>
    <t>4 and 15, 11</t>
  </si>
  <si>
    <t>Use Uni-directional Language Modelling</t>
  </si>
  <si>
    <t>Use well-understood pre-training task ( to pretrain a model for code completion)</t>
  </si>
  <si>
    <t>478,  3.4</t>
  </si>
  <si>
    <t>Pre-trained model, fine-tuned data</t>
  </si>
  <si>
    <t>Fine-tune model for Unidirectional Masked Language Modelling</t>
  </si>
  <si>
    <t>Use pre-trained model for predict token and type (code completition)</t>
  </si>
  <si>
    <t>Fine-tune model for Unidirectional Language Modelling</t>
  </si>
  <si>
    <t>Use pre-trained model for predict next token (code completition)</t>
  </si>
  <si>
    <t>478,  4.1</t>
  </si>
  <si>
    <t>Raw data</t>
  </si>
  <si>
    <t>Remove duplicates</t>
  </si>
  <si>
    <t>Avoid having the same data twice</t>
  </si>
  <si>
    <t>6 and 19</t>
  </si>
  <si>
    <t>Clean data</t>
  </si>
  <si>
    <t>Split into pre-training and fine-tuning data (60, 40%</t>
  </si>
  <si>
    <t>to separate datasets</t>
  </si>
  <si>
    <t>478, 4.1</t>
  </si>
  <si>
    <t>Use Byte Pair Encoding</t>
  </si>
  <si>
    <t>Encode data</t>
  </si>
  <si>
    <t>Ensure presence of user-defined types</t>
  </si>
  <si>
    <t>479, 4.2</t>
  </si>
  <si>
    <t>Token sequences</t>
  </si>
  <si>
    <t>Vocabulary filtering</t>
  </si>
  <si>
    <t>to reduce size when Vocabulary is too large</t>
  </si>
  <si>
    <t>22, 8</t>
  </si>
  <si>
    <t>Report model details (hyper parameter, architecture), cross entropy loss)</t>
  </si>
  <si>
    <t>Support reproducibility</t>
  </si>
  <si>
    <t>23, 9</t>
  </si>
  <si>
    <t>Fine-tuned model, test data</t>
  </si>
  <si>
    <t>Measure top-1 accuracy</t>
  </si>
  <si>
    <t>479, 4.3</t>
  </si>
  <si>
    <t>Use state-of-the-art baselines</t>
  </si>
  <si>
    <t>Measure improvement over the state-of-the-art</t>
  </si>
  <si>
    <t>480, 4.3</t>
  </si>
  <si>
    <t>Perform ablation study pre</t>
  </si>
  <si>
    <t>Understand impact of different pre-training tasks</t>
  </si>
  <si>
    <t>10.1109 ASE.2019.00026</t>
  </si>
  <si>
    <t>2 and 9</t>
  </si>
  <si>
    <t>178, II</t>
  </si>
  <si>
    <t>use Pointer generator (select a token from the ﬁxed vocabulary or copy one from the source sequence at each decoding step)</t>
  </si>
  <si>
    <t>Cope with out of vocabulary words</t>
  </si>
  <si>
    <t>Pull Request Description Generation</t>
  </si>
  <si>
    <t>3 and 16</t>
  </si>
  <si>
    <t>181, 5.1</t>
  </si>
  <si>
    <t>use ROUGE metric</t>
  </si>
  <si>
    <t>evaluate text summarization systems</t>
  </si>
  <si>
    <t>4 and 10</t>
  </si>
  <si>
    <t>179, 3.2</t>
  </si>
  <si>
    <t>uses self-critical sequence training (SCST) and a special loss function named RL loss in reinforcement learning model</t>
  </si>
  <si>
    <t>measure the performance of text summarization systems</t>
  </si>
  <si>
    <t>180, 4.A</t>
  </si>
  <si>
    <t>Github projects</t>
  </si>
  <si>
    <t>use RepoReapers framework (PR,commits and code comments collection)</t>
  </si>
  <si>
    <t>to collect PR,commits and code comments collection from gihub</t>
  </si>
  <si>
    <t>6 and 12</t>
  </si>
  <si>
    <t>180, 4.2</t>
  </si>
  <si>
    <t>collected PRs</t>
  </si>
  <si>
    <t>remove HTML comments and paragraphs starting with a headline named “checklist”</t>
  </si>
  <si>
    <t>ﬁlter out trivial and templated information in PRs</t>
  </si>
  <si>
    <t>6 and 13</t>
  </si>
  <si>
    <t>split the text into sentences and deleting the sentences with 1) url, 2) internal reference, e.g., “#123”, 3) signature, e.g., “signed-off-by”, 4) emails, 5) ‘@name’ and 6) markdown headlines</t>
  </si>
  <si>
    <t>to have pR without special references</t>
  </si>
  <si>
    <t>tokenize the text and remove non-ASCII tokens</t>
  </si>
  <si>
    <t>181, 4.2</t>
  </si>
  <si>
    <t>filter out PRs with empty descriptions or with less than 2 or more than 20 valid commits</t>
  </si>
  <si>
    <t>19, 20</t>
  </si>
  <si>
    <t>182, 5.3</t>
  </si>
  <si>
    <t>use maximum-likelihood (ML) loss first12,000 iterations then hybrid loss  for another 28,000 iterations, use adam</t>
  </si>
  <si>
    <t>8 and 18</t>
  </si>
  <si>
    <t>split dataset:10% for testing, 10% for validation and 80% for training.</t>
  </si>
  <si>
    <t>181, 5.2</t>
  </si>
  <si>
    <t>compare with LeadCM and LexRank</t>
  </si>
  <si>
    <t>to evaluate their model and baseline</t>
  </si>
  <si>
    <t>2,9, 4, 10</t>
  </si>
  <si>
    <t>uses self-critical sequence training (RL) and use encoder-decoder and pointer generator</t>
  </si>
  <si>
    <t>to train a model for PR description generation</t>
  </si>
  <si>
    <t>10.5555 2818754.2818866</t>
  </si>
  <si>
    <t>10.1109 ICSE.2012.6227175</t>
  </si>
  <si>
    <t>3 and 8</t>
  </si>
  <si>
    <t>402, 5.2</t>
  </si>
  <si>
    <t>features of parse tree</t>
  </si>
  <si>
    <t>feature selection based on information gain</t>
  </si>
  <si>
    <t>reduce the number of features by removing unimportant ones</t>
  </si>
  <si>
    <t>Code clone anomaly detection</t>
  </si>
  <si>
    <t>4 and 9</t>
  </si>
  <si>
    <t>clone anomaly data reports</t>
  </si>
  <si>
    <t>dataset re-balancing based on cosine similarity of feature sets of data points</t>
  </si>
  <si>
    <t>re-balance the dataset as original one contains too much false positive</t>
  </si>
  <si>
    <t>5 and 10</t>
  </si>
  <si>
    <t>402, 5.3</t>
  </si>
  <si>
    <t>nearest neighbor with non-nested generalization (NNGe)</t>
  </si>
  <si>
    <t>learns a discriminative model that discriminates true positives from false ones</t>
  </si>
  <si>
    <t>403, 6 (detailed settings in 7)</t>
  </si>
  <si>
    <t>classiﬁcation model, Bug Reports (clone-based anomaly reports for three real programs written in C and Java)</t>
  </si>
  <si>
    <t>measure average percentage faults detected (APFD) during refinement process</t>
  </si>
  <si>
    <t>measure the quality of the reﬁnement process</t>
  </si>
  <si>
    <t>401, 5.1</t>
  </si>
  <si>
    <t>source ﬁle containing the clone</t>
  </si>
  <si>
    <t>construct a parse tree and extract ﬁve sets of features the parse tree</t>
  </si>
  <si>
    <t>to extract features which can be easily adopted to differente code languages</t>
  </si>
  <si>
    <t>403, 5.4</t>
  </si>
  <si>
    <t xml:space="preserve">classiﬁcation model, Bug Reports </t>
  </si>
  <si>
    <t>active learning (reﬁnement based on user feedback)</t>
  </si>
  <si>
    <t>incrementally improve the classiﬁcation and ranking accuracy of the discriminative models</t>
  </si>
  <si>
    <t>10.1145 3368089.3409677</t>
  </si>
  <si>
    <t>1 and 13</t>
  </si>
  <si>
    <t>929, 4.1</t>
  </si>
  <si>
    <t>Describe features as bit vector (state vector (SV))</t>
  </si>
  <si>
    <t>Encode energy related activity</t>
  </si>
  <si>
    <t>Energy defect identification</t>
  </si>
  <si>
    <t>930, 4.2</t>
  </si>
  <si>
    <t>test execution</t>
  </si>
  <si>
    <t>collects the values for different sub-entries of SV at a fixed sampling rate</t>
  </si>
  <si>
    <t>to generate sequence for DL model</t>
  </si>
  <si>
    <t>3 and 15</t>
  </si>
  <si>
    <t>930, 5.2, 930, 5.1</t>
  </si>
  <si>
    <t>sequence of SVs (features)</t>
  </si>
  <si>
    <t>Long Short-Term Memory (LSTM) as classification model</t>
  </si>
  <si>
    <t>to construct oracles for energy defects in Android / to model energy defects</t>
  </si>
  <si>
    <t>4 and 16</t>
  </si>
  <si>
    <t>930, 5.3</t>
  </si>
  <si>
    <t>tests</t>
  </si>
  <si>
    <t>used 𝜇Droid, an energy-aware mutation testing framework, to generate pairs of ⟨𝑚𝑢𝑡𝑎𝑛𝑡, 𝑡𝑒𝑠𝑡⟩</t>
  </si>
  <si>
    <t>curate a large dataset (, to generate pairs of ⟨𝑚𝑢𝑡𝑎𝑛𝑡, 𝑡𝑒𝑠𝑡⟩, mutants taht are energy aware)</t>
  </si>
  <si>
    <t>931, 5.4</t>
  </si>
  <si>
    <t>sequence of SVs</t>
  </si>
  <si>
    <t>Attention Mechanism</t>
  </si>
  <si>
    <t>to address the long sequence problem which degrades the model performance</t>
  </si>
  <si>
    <t>Model, test data</t>
  </si>
  <si>
    <t>Extract attention on features</t>
  </si>
  <si>
    <t>to Model (understand) the relation of features to defects</t>
  </si>
  <si>
    <t>6 and 18</t>
  </si>
  <si>
    <t>932, 6</t>
  </si>
  <si>
    <t>Model, test data (sequence of SVs)</t>
  </si>
  <si>
    <t>Explain model behavior through attention (determine the features that impact its decision and verify they are relevant)</t>
  </si>
  <si>
    <t>to verify that no information leaks occur</t>
  </si>
  <si>
    <t>933, 7.1</t>
  </si>
  <si>
    <t>DL model + Training data</t>
  </si>
  <si>
    <t>Weighted Cross-Entropy</t>
  </si>
  <si>
    <t>clasification loss function for classification problems than cross-entropy due to imbalanced data</t>
  </si>
  <si>
    <t>932, 7.1</t>
  </si>
  <si>
    <t>Use ADAM optimizer</t>
  </si>
  <si>
    <t>Use known effective optimizer</t>
  </si>
  <si>
    <t>Use early stopping</t>
  </si>
  <si>
    <t>Optimize validation loss</t>
  </si>
  <si>
    <t>Use grid search for hyper parameter tuning</t>
  </si>
  <si>
    <t>Find best training parameters</t>
  </si>
  <si>
    <t>932, 7.2.1</t>
  </si>
  <si>
    <t>Measure recall and precission</t>
  </si>
  <si>
    <t>934, 7.2</t>
  </si>
  <si>
    <t>DL model, datasets</t>
  </si>
  <si>
    <t>In 1st experiment, use the Labeled Dataset for both training and testing; In 2nd experiment, use the Labeled Dataset for training and use real energy defects for testing</t>
  </si>
  <si>
    <t>ensure generalizability of results in evaluating the ability</t>
  </si>
  <si>
    <t>935, 7.3.1</t>
  </si>
  <si>
    <t>evaluate the effectiveness of model to detect defects</t>
  </si>
  <si>
    <t>936, 7.5</t>
  </si>
  <si>
    <t>two mobile devices</t>
  </si>
  <si>
    <t>repeat experiments and record precision and recall</t>
  </si>
  <si>
    <t>evaluate the reusable of oracle in different mobile devices</t>
  </si>
  <si>
    <t>937, 7.6</t>
  </si>
  <si>
    <t>laptop, model, oracles</t>
  </si>
  <si>
    <t>evaluated the time required to train and test the oracle</t>
  </si>
  <si>
    <t>evalaute the performance</t>
  </si>
  <si>
    <t>10.1145 2970276.2970357</t>
  </si>
  <si>
    <t>1 and 9</t>
  </si>
  <si>
    <t>53, 3.2</t>
  </si>
  <si>
    <t>Raw data (StackOverflow posts)</t>
  </si>
  <si>
    <t>Use continuous skip-gram word-embeddings</t>
  </si>
  <si>
    <t>Use pre-trained embedding (learn domain-speciﬁc word embeddings)</t>
  </si>
  <si>
    <t>Semantic knowledge linking</t>
  </si>
  <si>
    <t>2 and 10</t>
  </si>
  <si>
    <t>54, 3.2</t>
  </si>
  <si>
    <t>Word embeddings (knowledge-unit vector)</t>
  </si>
  <si>
    <t>Use CNN</t>
  </si>
  <si>
    <t>Identify related knowledge units</t>
  </si>
  <si>
    <t>Use cosine loss</t>
  </si>
  <si>
    <t>54, 3.3</t>
  </si>
  <si>
    <t>StackOverflow posts</t>
  </si>
  <si>
    <t>remove large code snippets in &lt; pre &gt; HTML tag and clean HTML tags</t>
  </si>
  <si>
    <t>use the software-speciﬁc tokenizer</t>
  </si>
  <si>
    <t>tokenize the sentences and preserve the integrity of code tokens.</t>
  </si>
  <si>
    <t>55, 3.5</t>
  </si>
  <si>
    <t>model (CNN)</t>
  </si>
  <si>
    <t>minimize the mean-squared error of the computed similarity score and the cosine loss</t>
  </si>
  <si>
    <t>55, 3.4</t>
  </si>
  <si>
    <t>Describe neural network architecture</t>
  </si>
  <si>
    <t>56, 4.1</t>
  </si>
  <si>
    <t>Use TF-IDF as features</t>
  </si>
  <si>
    <t>Baseline feature model ( to encode features)</t>
  </si>
  <si>
    <t>6 and 14</t>
  </si>
  <si>
    <t>Use Support Vector Machine baseline</t>
  </si>
  <si>
    <t>Use baseline model</t>
  </si>
  <si>
    <t>57, 4.2</t>
  </si>
  <si>
    <t>knowledge-unit pairs</t>
  </si>
  <si>
    <t>split dataset: 80% for training, 20% for testing</t>
  </si>
  <si>
    <t>8, 15, 16, 17, 18</t>
  </si>
  <si>
    <t>57, 4.3</t>
  </si>
  <si>
    <t>models (CNN) and dataset</t>
  </si>
  <si>
    <t>use accuracy, precision, recall, f1-score</t>
  </si>
  <si>
    <t>57, 4.4.2</t>
  </si>
  <si>
    <t>Model (CNN), Test data</t>
  </si>
  <si>
    <t>Evaluate on different subsets</t>
  </si>
  <si>
    <t>Measure robustness of performance on subsets of data</t>
  </si>
  <si>
    <t>59, 4.4.5</t>
  </si>
  <si>
    <t>Measure training time</t>
  </si>
  <si>
    <t>Identify hardware and time requirements</t>
  </si>
  <si>
    <t>59, 5.1</t>
  </si>
  <si>
    <t>Model outputs</t>
  </si>
  <si>
    <t>Qualitative evaluation of examples</t>
  </si>
  <si>
    <t>Gain deep insights into subset of results</t>
  </si>
  <si>
    <t>10.1145 3106237.3106277</t>
  </si>
  <si>
    <t>10.1145 3368089.3409740</t>
  </si>
  <si>
    <t>10.1145 3468264.3468614</t>
  </si>
  <si>
    <t>721, 4.3</t>
  </si>
  <si>
    <t>implementation is publicly available</t>
  </si>
  <si>
    <t>Debug statistical models</t>
  </si>
  <si>
    <t>719, 4</t>
  </si>
  <si>
    <t>rule learning algorithm</t>
  </si>
  <si>
    <t>find conditions of mispredictions</t>
  </si>
  <si>
    <t>721, 5.1</t>
  </si>
  <si>
    <t>use state-of-the-art approaches 8614</t>
  </si>
  <si>
    <t>722, 5.1</t>
  </si>
  <si>
    <t>722, 5.1.2</t>
  </si>
  <si>
    <t>10.1109 ICSE.2019.00021</t>
  </si>
  <si>
    <t>26,2a</t>
  </si>
  <si>
    <t>PR data</t>
  </si>
  <si>
    <t>use Gerrit crawler</t>
  </si>
  <si>
    <t>to collect pull request data</t>
  </si>
  <si>
    <t>Program translation</t>
  </si>
  <si>
    <t>26,2b</t>
  </si>
  <si>
    <t>GumTreeDiff, AST mappings and generate pairs</t>
  </si>
  <si>
    <t>extract code on method-level of the pull request</t>
  </si>
  <si>
    <t>3 and 11</t>
  </si>
  <si>
    <t>27,2.C</t>
  </si>
  <si>
    <t>method pairs</t>
  </si>
  <si>
    <t>keep top-300 frequent identifiers and literals in vocabulary and replace identiﬁers and literals with reusable IDs (NLP preprocessing, most frequent identifiers)</t>
  </si>
  <si>
    <t>reduce the vocabulary while still retaining semantic information</t>
  </si>
  <si>
    <t>disregard method pairs where 1) abstracted code before and after PR are same, 2) orginal method acontains tokens not in specific categories</t>
  </si>
  <si>
    <t>remove pais that NMT model would not learn any code transformation</t>
  </si>
  <si>
    <t>remove duplicate pairs, split data into training (80%), validation (10%), and test (10%) sets</t>
  </si>
  <si>
    <t>to have independent sets and remove noise</t>
  </si>
  <si>
    <t>28,2.d</t>
  </si>
  <si>
    <t xml:space="preserve">model </t>
  </si>
  <si>
    <t>NMT model (RNN Encoder-Decoder architecture with attention mechanism+Beam Search)</t>
  </si>
  <si>
    <t>test ten conﬁgurations of the encoder-decoder architecture</t>
  </si>
  <si>
    <t>Hyperparameter Search</t>
  </si>
  <si>
    <t>29, 3.B</t>
  </si>
  <si>
    <t>models, method pairs</t>
  </si>
  <si>
    <t>raw count and percentage of successfully predicted k code changes</t>
  </si>
  <si>
    <t>evaluate the validity of the model</t>
  </si>
  <si>
    <t>10.1109 ASE.2015.55</t>
  </si>
  <si>
    <t>2 and 9, 1</t>
  </si>
  <si>
    <t>355, 3</t>
  </si>
  <si>
    <t>collected data from software project tasks</t>
  </si>
  <si>
    <t>construct task network based on implicit explicit relationship between tasks</t>
  </si>
  <si>
    <t>construct relational features between tasks</t>
  </si>
  <si>
    <t>Software project management</t>
  </si>
  <si>
    <t>3 and 10</t>
  </si>
  <si>
    <t>task of the software project</t>
  </si>
  <si>
    <t>Random Forest, Multiclass Support Vector Machines</t>
  </si>
  <si>
    <t>develop local classifier that treats nodes /tasks independently</t>
  </si>
  <si>
    <t>357, 5.2</t>
  </si>
  <si>
    <t>local features of tasks+task network</t>
  </si>
  <si>
    <t>Weighted-Vote Relational Neighbor (wvRN) and Stacked Graphical Learning</t>
  </si>
  <si>
    <t>make use of information about related tasks to estimate the label probability.</t>
  </si>
  <si>
    <t>355, 4</t>
  </si>
  <si>
    <t>collect data and extract information from issue tracking systems</t>
  </si>
  <si>
    <t>test and train data</t>
  </si>
  <si>
    <t>6 and 11</t>
  </si>
  <si>
    <t>358, 6</t>
  </si>
  <si>
    <t>issue tracking system data</t>
  </si>
  <si>
    <t>60%/40% for training and testing, stratiﬁed sampling to maintain a similar ratio between delayed and non-delayed tasks</t>
  </si>
  <si>
    <t>construct the dataset to maintain a similar ratio between delayed and non-delayed tasks</t>
  </si>
  <si>
    <t>358, 5.3</t>
  </si>
  <si>
    <t>outputs of classifiers</t>
  </si>
  <si>
    <t>Relaxation Labeling (RL) and Stacked Inference (SI)</t>
  </si>
  <si>
    <t>infer class probabilities simultaneously for all unknown labels</t>
  </si>
  <si>
    <t>7 and 12</t>
  </si>
  <si>
    <t>358, 7.1</t>
  </si>
  <si>
    <t>dataset and models</t>
  </si>
  <si>
    <t>confusion matrix, precision, recall, f-measure</t>
  </si>
  <si>
    <t>evaluate the performance of predictive models</t>
  </si>
  <si>
    <t>360, 7.1</t>
  </si>
  <si>
    <t>Area Under the ROC Curve (AUC)</t>
  </si>
  <si>
    <t>evaluate the degree of discrimination achieved by the model</t>
  </si>
  <si>
    <t>10.1145 3368089.3409691</t>
  </si>
  <si>
    <t>1 and 7</t>
  </si>
  <si>
    <t>1206, 3.2.1</t>
  </si>
  <si>
    <t>dataset</t>
  </si>
  <si>
    <t>split dataset into train/validation/test dataset with a ratio of 8:1:1</t>
  </si>
  <si>
    <t>UI components detection</t>
  </si>
  <si>
    <t>All GUIs of an application will be in only one split</t>
  </si>
  <si>
    <t>avoid the bias of “seen samples” across training, validation and testing</t>
  </si>
  <si>
    <t>model, dataset</t>
  </si>
  <si>
    <t>5-fold cross-validation</t>
  </si>
  <si>
    <t>1207, 3.2.3</t>
  </si>
  <si>
    <t>initialize their parameters using the corresponding pretrained models</t>
  </si>
  <si>
    <t>faster models execution</t>
  </si>
  <si>
    <t>use Adam optimizer</t>
  </si>
  <si>
    <t>parameters optimization</t>
  </si>
  <si>
    <t>use validation set</t>
  </si>
  <si>
    <t>to fund the best object confidence threshold for each model</t>
  </si>
  <si>
    <t>model output</t>
  </si>
  <si>
    <t>perform non-maximum suppression (NMS)</t>
  </si>
  <si>
    <t>remove highly-duplicated predictions</t>
  </si>
  <si>
    <t>6 and 12 and 13</t>
  </si>
  <si>
    <t>1207, 3.2.4</t>
  </si>
  <si>
    <t>use precision and recall and F1-meassure</t>
  </si>
  <si>
    <t>assess model performance</t>
  </si>
  <si>
    <t>use line charts</t>
  </si>
  <si>
    <t>to visualize metrics vs threshold for several models</t>
  </si>
  <si>
    <t>1206, 3.2.2</t>
  </si>
  <si>
    <t>use state-of-the-art approaches 9691</t>
  </si>
  <si>
    <t>1210, 4.1.1</t>
  </si>
  <si>
    <t>GUI images</t>
  </si>
  <si>
    <t>binary images</t>
  </si>
  <si>
    <t>to distinguish components from background, simpler</t>
  </si>
  <si>
    <t>10.1109 ASE.2019.00092</t>
  </si>
  <si>
    <t>1 and 8</t>
  </si>
  <si>
    <t>952,  3.1</t>
  </si>
  <si>
    <t>Autoregressive Integrated Moving Average (ARIMA)</t>
  </si>
  <si>
    <t>predict time series data</t>
  </si>
  <si>
    <t>System self-adaptation</t>
  </si>
  <si>
    <t>952,  III.A</t>
  </si>
  <si>
    <t>time series</t>
  </si>
  <si>
    <t>use max. likelihood estimation (MLE)</t>
  </si>
  <si>
    <t>optimize ARIMA model parameters</t>
  </si>
  <si>
    <t>2, 7 and 10</t>
  </si>
  <si>
    <t>952,  3.2</t>
  </si>
  <si>
    <t>uses Multiple Regression Analysis (MRA)</t>
  </si>
  <si>
    <t>to support run time predictions of tactic latency and cost</t>
  </si>
  <si>
    <t>3 and 12</t>
  </si>
  <si>
    <t>954,  5.1</t>
  </si>
  <si>
    <t>Root Mean Square Error (RMSE) and Mean Absolute Error (MAE)</t>
  </si>
  <si>
    <t>evaluate the systematic beneﬁts of approach</t>
  </si>
  <si>
    <t>955,  V.B</t>
  </si>
  <si>
    <t>using scatter plots</t>
  </si>
  <si>
    <t>to show MAE and RMSE</t>
  </si>
  <si>
    <t>4 and 11</t>
  </si>
  <si>
    <t>cross validation, 90% testing, 10% data, 50 times</t>
  </si>
  <si>
    <t>evaluate the proposed approach (prediction accuracy)</t>
  </si>
  <si>
    <t>955  5.2</t>
  </si>
  <si>
    <t>compare with Hidden Markov Model (HMM)</t>
  </si>
  <si>
    <t>measure the performance of time-series forecasting</t>
  </si>
  <si>
    <t>compare with Bayesian Ridge Regression (BRR)</t>
  </si>
  <si>
    <t>measure the performance of predicting tactic latency and cost at run time</t>
  </si>
  <si>
    <t>10.1109 ICSE.2017.70</t>
  </si>
  <si>
    <t>1, 2 and 13</t>
  </si>
  <si>
    <t>701, II.A.1</t>
  </si>
  <si>
    <t>Source code</t>
  </si>
  <si>
    <t>Identify different candidates for suitable features (extract existence feature: whether certain types of elements exist in the target program, extract usage feature: how the elements in a program are used)</t>
  </si>
  <si>
    <t>Identify suitable features</t>
  </si>
  <si>
    <t>3 and 14</t>
  </si>
  <si>
    <t>701, II.A.2</t>
  </si>
  <si>
    <t>All features</t>
  </si>
  <si>
    <t>Information gain feature selection (remove features whose information gain ratios are zero)</t>
  </si>
  <si>
    <t>Remove irrelevant features (ﬁlter out the useless features)</t>
  </si>
  <si>
    <t>Relevant features</t>
  </si>
  <si>
    <t>Normalization (use min-max normalization)</t>
  </si>
  <si>
    <t>normalize value of features into the interval [0, 1]</t>
  </si>
  <si>
    <t>5, 16</t>
  </si>
  <si>
    <t>702, II.A</t>
  </si>
  <si>
    <t>Sequential Minimal Optimization (SMO), Support Vector Machine (Linear?)</t>
  </si>
  <si>
    <t>build the capability model (model to predict the probability of a model to trigger a bug)</t>
  </si>
  <si>
    <t>6 and 17</t>
  </si>
  <si>
    <t>702, II.A.3</t>
  </si>
  <si>
    <t>Normalized features</t>
  </si>
  <si>
    <t>Gaussian process</t>
  </si>
  <si>
    <t>Predict execution time of code</t>
  </si>
  <si>
    <t>7 and 23</t>
  </si>
  <si>
    <t>703 3.1</t>
  </si>
  <si>
    <t>Randomized data generation (C programs randomly generated by CSmith)</t>
  </si>
  <si>
    <t>Create input data for approach (use in both learning and scheduling processes), create features for the models</t>
  </si>
  <si>
    <t>703 3.2</t>
  </si>
  <si>
    <t>measure performance in two application scenarios (cross-compiler and cross-version)</t>
  </si>
  <si>
    <t>10 and 20, 9 , 19</t>
  </si>
  <si>
    <t>704, III.D.2</t>
  </si>
  <si>
    <t>compare with variants State of the art baselines (of models based on different indepent variables) and Random baseline</t>
  </si>
  <si>
    <t>Execute tests to find many bugs fast</t>
  </si>
  <si>
    <t>704, III.D.3</t>
  </si>
  <si>
    <t>Ablation study</t>
  </si>
  <si>
    <t>Determine impact of design options of new model</t>
  </si>
  <si>
    <t>11 and 22</t>
  </si>
  <si>
    <t>704 3.5</t>
  </si>
  <si>
    <t>Measure Speedup (calculate the corresponding speedup on detecting k bugs)</t>
  </si>
  <si>
    <t>12 and 24</t>
  </si>
  <si>
    <t>705, III.F</t>
  </si>
  <si>
    <t>Repeat experiment 10 times</t>
  </si>
  <si>
    <t>Account for random fluctuations (reduce the inﬂuence of random selection)</t>
  </si>
  <si>
    <t>706, IV.A</t>
  </si>
  <si>
    <t>Speedup measurements</t>
  </si>
  <si>
    <t>Wilcoxon signed rank test</t>
  </si>
  <si>
    <t>Determine significance of differnence</t>
  </si>
  <si>
    <t>10.5555 2819009.2819034</t>
  </si>
  <si>
    <t>161, III</t>
  </si>
  <si>
    <t>Performance data</t>
  </si>
  <si>
    <t>Normalization</t>
  </si>
  <si>
    <t>Remove measurement effects due to CPU clock differences</t>
  </si>
  <si>
    <t>Analysis of load test results</t>
  </si>
  <si>
    <t>Normalized data</t>
  </si>
  <si>
    <t>Discritization with Equal Width Interval Binning</t>
  </si>
  <si>
    <t>Prepare data for association rule mining</t>
  </si>
  <si>
    <t>162, III</t>
  </si>
  <si>
    <t>define minimum support and confidence for assoc rules</t>
  </si>
  <si>
    <t>Discretized data</t>
  </si>
  <si>
    <t>Association rule mining with based on support and confidence</t>
  </si>
  <si>
    <t>Infer associations between different performance counters</t>
  </si>
  <si>
    <t>7, 8, 9 and 10</t>
  </si>
  <si>
    <t>164, IV</t>
  </si>
  <si>
    <t>use  precision, recall,  fscore</t>
  </si>
  <si>
    <t>Assocation rules, test data</t>
  </si>
  <si>
    <t>Bagging of past models</t>
  </si>
  <si>
    <t>Predict performance deviatios</t>
  </si>
  <si>
    <t>Stacking of past models</t>
  </si>
  <si>
    <t>Evaluation data</t>
  </si>
  <si>
    <t>Report generation based on severity of violation</t>
  </si>
  <si>
    <t>Report deviations with an estimation of how bad the deviation is</t>
  </si>
  <si>
    <t>10.1145 2025113.2025163</t>
  </si>
  <si>
    <t>366,  2.1</t>
  </si>
  <si>
    <t>bug tracking system</t>
  </si>
  <si>
    <t>Describe used features</t>
  </si>
  <si>
    <t>Bug triage</t>
  </si>
  <si>
    <t>1, 2</t>
  </si>
  <si>
    <t>filter bug reports master</t>
  </si>
  <si>
    <t>368,  3.2</t>
  </si>
  <si>
    <t>Mathematical description of new ML model</t>
  </si>
  <si>
    <t>to describe of the used model</t>
  </si>
  <si>
    <t>369,  4.3</t>
  </si>
  <si>
    <t>Description of model update</t>
  </si>
  <si>
    <t>to train a model for bug triage</t>
  </si>
  <si>
    <t>370,  5</t>
  </si>
  <si>
    <t>Rankings</t>
  </si>
  <si>
    <t>Measure Top-k accuracy (k=1, …, 5)</t>
  </si>
  <si>
    <t>371,  5.2</t>
  </si>
  <si>
    <t>Data, Model</t>
  </si>
  <si>
    <t>Measure inference time</t>
  </si>
  <si>
    <t>Understand implications of runtime for deployment</t>
  </si>
  <si>
    <t>8 and 10</t>
  </si>
  <si>
    <t>372, 5.5</t>
  </si>
  <si>
    <t>Data</t>
  </si>
  <si>
    <t>State of the art baselines 25163</t>
  </si>
  <si>
    <t>Comparison to prior work</t>
  </si>
  <si>
    <t>10.1145 2491411.2491434</t>
  </si>
  <si>
    <t>10.1145 3338906.3338941</t>
  </si>
  <si>
    <t>697, 2.3</t>
  </si>
  <si>
    <t>Vulnerabilities detection</t>
  </si>
  <si>
    <t>Bag of Words</t>
  </si>
  <si>
    <t>preprocess the data</t>
  </si>
  <si>
    <t>699, 5.2</t>
  </si>
  <si>
    <t>use NVD</t>
  </si>
  <si>
    <t>Enable reproducibility of experiment design</t>
  </si>
  <si>
    <t>700, 5.2</t>
  </si>
  <si>
    <t>Clean data from temporal dependencies</t>
  </si>
  <si>
    <t>Enable realistic evaluation</t>
  </si>
  <si>
    <t>701, 6.1</t>
  </si>
  <si>
    <t>Use SMOTE oversampling</t>
  </si>
  <si>
    <t>Treat class level imbalance</t>
  </si>
  <si>
    <t>4 and 19</t>
  </si>
  <si>
    <t>Oversampled Training data</t>
  </si>
  <si>
    <t>AdaBoost as classifier</t>
  </si>
  <si>
    <t>Predict vulnerabilities</t>
  </si>
  <si>
    <t>7 and 22</t>
  </si>
  <si>
    <t>Logistic Regression as classifier</t>
  </si>
  <si>
    <t>6 and 21</t>
  </si>
  <si>
    <t>k-Nearest Neighbor as classifier, k=5</t>
  </si>
  <si>
    <t>8 and 23</t>
  </si>
  <si>
    <t>Random Forest as classifier</t>
  </si>
  <si>
    <t>5 and 20</t>
  </si>
  <si>
    <t>C4.5 decision tree as classifier (J48)</t>
  </si>
  <si>
    <t>9, 10, 11, 12, 16, and 17</t>
  </si>
  <si>
    <t>701, 6.2</t>
  </si>
  <si>
    <t xml:space="preserve">test data and model </t>
  </si>
  <si>
    <t>Precision, Recall, MCC, and Measure resolution effort ratio</t>
  </si>
  <si>
    <t>701, 6.3</t>
  </si>
  <si>
    <t>Model performance</t>
  </si>
  <si>
    <t>Use Wilcoxon signed rank test</t>
  </si>
  <si>
    <t>Use statistical tests to determine significance of results</t>
  </si>
  <si>
    <t>test data</t>
  </si>
  <si>
    <t>Synthetic Minority Over-sampling Technique</t>
  </si>
  <si>
    <t>data is imbalanced</t>
  </si>
  <si>
    <t>10.1109 ASE.2019.00039</t>
  </si>
  <si>
    <t>330, 3</t>
  </si>
  <si>
    <t>Describe details of data collection</t>
  </si>
  <si>
    <t>Automated Error Feedback</t>
  </si>
  <si>
    <t>328, 329, 2</t>
  </si>
  <si>
    <t>student programs</t>
  </si>
  <si>
    <t>collect data from open source projects</t>
  </si>
  <si>
    <t>17, 4</t>
  </si>
  <si>
    <t>329, 2</t>
  </si>
  <si>
    <t>encoded source code lines</t>
  </si>
  <si>
    <t>Dense Neural Network</t>
  </si>
  <si>
    <t>predict error-repair class</t>
  </si>
  <si>
    <t>pipeline for live deployment</t>
  </si>
  <si>
    <t>331, IV.A</t>
  </si>
  <si>
    <t>Random split into training and test data</t>
  </si>
  <si>
    <t>Make required datasets available</t>
  </si>
  <si>
    <t>Encode data through one-hot-encoding</t>
  </si>
  <si>
    <t>Use suitable data representation for learning task</t>
  </si>
  <si>
    <t>331, IV.B</t>
  </si>
  <si>
    <t>Use dropout for regularization</t>
  </si>
  <si>
    <t>Avoid overfitting</t>
  </si>
  <si>
    <t>Use ReLU as activation function</t>
  </si>
  <si>
    <t>Make model non-linear</t>
  </si>
  <si>
    <t>Use robust optimizer</t>
  </si>
  <si>
    <t>Use best result based on validation data</t>
  </si>
  <si>
    <t>334, VI</t>
  </si>
  <si>
    <t>Conduct user study</t>
  </si>
  <si>
    <t>Understand how model performance in a real-world use case</t>
  </si>
  <si>
    <t>335, VI</t>
  </si>
  <si>
    <t>Provide live feedback</t>
  </si>
  <si>
    <t>Use model to help users</t>
  </si>
  <si>
    <t>Integrate into existing tooling</t>
  </si>
  <si>
    <t>Integrate model into already used tooling to help users</t>
  </si>
  <si>
    <t>9, 10, 11, and 19</t>
  </si>
  <si>
    <t>331, IV.C</t>
  </si>
  <si>
    <t>Measure top-k accuracy, k=1, 3, 5, recall, precision</t>
  </si>
  <si>
    <t>Evaluate performance over not using tool</t>
  </si>
  <si>
    <t>Identify benefit of ML model in practice</t>
  </si>
  <si>
    <t>10.1145 3324884.3416545</t>
  </si>
  <si>
    <t>775,  3.1</t>
  </si>
  <si>
    <t>Candidate models</t>
  </si>
  <si>
    <t>Select model with best validation accuracy</t>
  </si>
  <si>
    <t>Select best among candidate models</t>
  </si>
  <si>
    <t>Impact of variance (deep learning)</t>
  </si>
  <si>
    <t>Select model with best validation loss</t>
  </si>
  <si>
    <t>3 and 4</t>
  </si>
  <si>
    <t>775,  3.3</t>
  </si>
  <si>
    <t>Measure accuracy and per-class accuracy</t>
  </si>
  <si>
    <t>5 and 8</t>
  </si>
  <si>
    <t>775,  3.4</t>
  </si>
  <si>
    <t>Use Levene's test to determine equality of variances</t>
  </si>
  <si>
    <t>Significance of stability of results ( to determine equality of variances)</t>
  </si>
  <si>
    <t>6 and 8</t>
  </si>
  <si>
    <t>Use Mann-Whitney-U-test to determine difference in central tendency</t>
  </si>
  <si>
    <t>Significance of performance difference ( to determine difference in central tendency)</t>
  </si>
  <si>
    <t>7 and 10</t>
  </si>
  <si>
    <t>Use Cohen's d to determine effect size of differences</t>
  </si>
  <si>
    <t>Magnitude of performance differences (to determine effect size of differences)</t>
  </si>
  <si>
    <t>776, 4</t>
  </si>
  <si>
    <t>use common datasets and models</t>
  </si>
  <si>
    <t>used in the literature</t>
  </si>
  <si>
    <t>10.1145 3377811.3380369</t>
  </si>
  <si>
    <t>3, 3.2</t>
  </si>
  <si>
    <t>Measure problem specific performance markers (execution time, fault detection rate)</t>
  </si>
  <si>
    <t>tu build features to predict the ranking</t>
  </si>
  <si>
    <t>4, 4.1</t>
  </si>
  <si>
    <t>k-Nearest Neighbor as regression for ranking</t>
  </si>
  <si>
    <t>Rank tests</t>
  </si>
  <si>
    <t>Random Forest as regression for ranking</t>
  </si>
  <si>
    <t>LambdaMART as ranking algorithm</t>
  </si>
  <si>
    <t>MART as ranking algorithm</t>
  </si>
  <si>
    <t>RankBoost as ranking algorithm</t>
  </si>
  <si>
    <t>Coordinate ASCENT as ranking algorithm</t>
  </si>
  <si>
    <t>Reinforcement learning with a shallow neural network for ranking</t>
  </si>
  <si>
    <t>Reinforcement learning with a  MLP for ranking</t>
  </si>
  <si>
    <t>Reinforcement learning with a random forest for ranking</t>
  </si>
  <si>
    <t>5, 4.4</t>
  </si>
  <si>
    <t>sound subject selection, 6 different open source projects</t>
  </si>
  <si>
    <t>5, 4.5</t>
  </si>
  <si>
    <t>sound evaluation metrics, FPA and modified FPA for ranking (RPA)</t>
  </si>
  <si>
    <t>evaluate in an algorithm-independent way</t>
  </si>
  <si>
    <t>7, 5.1.2</t>
  </si>
  <si>
    <t>Use Skillings-Mack test (comparing 4 sets of unequal number of algorithms with appropriate Skillings-Mack test (adaption of Friedman))</t>
  </si>
  <si>
    <t>Significance of performance difference (chosen because of 4 unequal sets of algorithms)</t>
  </si>
  <si>
    <t>13 and 23</t>
  </si>
  <si>
    <t>6, 5.1.3</t>
  </si>
  <si>
    <t>Use Mann-Whitney-U-test (compare 2 populations with Mann-Whitney-Wilcoxon)</t>
  </si>
  <si>
    <t>Significance of performance difference (test suited for comparing two-levels case)</t>
  </si>
  <si>
    <t>6, 5.1.1</t>
  </si>
  <si>
    <t>Use Nemenyi post-hoc test</t>
  </si>
  <si>
    <t>Significance of performance difference</t>
  </si>
  <si>
    <t>6: 5.1.1</t>
  </si>
  <si>
    <t>results</t>
  </si>
  <si>
    <t>check statistical test prerequesites: normality and homoscedascity with Shapiro-Wilk and Levene</t>
  </si>
  <si>
    <t>check anova prerequesites</t>
  </si>
  <si>
    <t>based on test prerequesites chose non parametric ANOVA with Friedman, Iman and Davemport, Shaffers post hoc</t>
  </si>
  <si>
    <t>to have robust tests to non-normality and heteroscedasticity</t>
  </si>
  <si>
    <t>run times</t>
  </si>
  <si>
    <t>run time evaluation of models</t>
  </si>
  <si>
    <t>to evaluate model runtime</t>
  </si>
  <si>
    <t>7, 5.2.1</t>
  </si>
  <si>
    <t>Hotellings multivariate control charts</t>
  </si>
  <si>
    <t>investigate shifts in the relationship between several interrelated variables</t>
  </si>
  <si>
    <t>Use PCA to select features with 95% variance</t>
  </si>
  <si>
    <t>Remove first-order correlations from features</t>
  </si>
  <si>
    <t>8, 5.2.1</t>
  </si>
  <si>
    <t>Evaluate transfer entropy between time series of prediction</t>
  </si>
  <si>
    <t>to Identify need for retraining</t>
  </si>
  <si>
    <t>9, 5.2.2</t>
  </si>
  <si>
    <t>Use Principal Feature Analysis (PFA) to select features</t>
  </si>
  <si>
    <t>Remove correlations while keeping original features</t>
  </si>
  <si>
    <t>9, 5.2.3</t>
  </si>
  <si>
    <t>feature selection</t>
  </si>
  <si>
    <t>redundant or irrelevant features increase computational costs and can result in poor predictive performance</t>
  </si>
  <si>
    <t>10.1109 ICSE.2019.00076</t>
  </si>
  <si>
    <t>671, VI.A</t>
  </si>
  <si>
    <t>Account for time delay for label availability</t>
  </si>
  <si>
    <t>Increase realism of used data</t>
  </si>
  <si>
    <t>2, 10 and 11</t>
  </si>
  <si>
    <t>671, VI.B</t>
  </si>
  <si>
    <t>Cleaned data</t>
  </si>
  <si>
    <t>Use custom oversampling (resample (online) training data based on positive/negative instances frequency AND resample (online) training data based on boosting factors)</t>
  </si>
  <si>
    <t>Adopt oversampling to use case (tackle verification latency and avoid unbalanced class evolution)</t>
  </si>
  <si>
    <t>3 and 13, 4</t>
  </si>
  <si>
    <t>671, VI</t>
  </si>
  <si>
    <t>use state-of-the-art approaches (Use oversampling online bagging as baseline)</t>
  </si>
  <si>
    <t>Comparison to state-of-the-art</t>
  </si>
  <si>
    <t xml:space="preserve">Measure G-mean and use recall </t>
  </si>
  <si>
    <t>672, VI</t>
  </si>
  <si>
    <t>Find optimal model configuration</t>
  </si>
  <si>
    <t>7 and 18</t>
  </si>
  <si>
    <t>Use Scott-Knott test to compare algorithms</t>
  </si>
  <si>
    <t>Significance of performance difference (to separate approaches into non-overlapping groups)</t>
  </si>
  <si>
    <t>Hoeffding tree for online training of classification</t>
  </si>
  <si>
    <t>Updateable model for online learning of just-in-time defect prediction</t>
  </si>
  <si>
    <t>Repeat experiment 30 times</t>
  </si>
  <si>
    <t>Account for randomness of training</t>
  </si>
  <si>
    <t>671, V</t>
  </si>
  <si>
    <t>AUC Should not be used when there is online concept drifting nature; AUC should be used for offline binary problems</t>
  </si>
  <si>
    <t>assess model performance, for offline binary problems</t>
  </si>
  <si>
    <t>AUC Should not be used when there is online concept drifting nature</t>
  </si>
  <si>
    <t>use Vargha and Delaney's non-parametric A12 effect size</t>
  </si>
  <si>
    <t>measure effect size and split groups in case of medium and large effect size</t>
  </si>
  <si>
    <t>compute metrics in prequential way</t>
  </si>
  <si>
    <t>deal with concept drift in online learning studies</t>
  </si>
  <si>
    <t>672, VII.A</t>
  </si>
  <si>
    <t>Use boxplots to describe datasets</t>
  </si>
  <si>
    <t>to clean data</t>
  </si>
  <si>
    <t>673, VII.B</t>
  </si>
  <si>
    <t>use time series charts</t>
  </si>
  <si>
    <t>show class imbalance evolution of datasets</t>
  </si>
  <si>
    <t>674, VII.D</t>
  </si>
  <si>
    <t>time series (performance metrics)</t>
  </si>
  <si>
    <t>plot performance data over time</t>
  </si>
  <si>
    <t>analyze performance over time</t>
  </si>
  <si>
    <t>10.1145 3377811.3380391</t>
  </si>
  <si>
    <t>705, 3.1</t>
  </si>
  <si>
    <t>Mathematical model for neuron relevance</t>
  </si>
  <si>
    <t>Understand impact of neuron on result</t>
  </si>
  <si>
    <t>XAI for ML testing</t>
  </si>
  <si>
    <t>706, 3.2</t>
  </si>
  <si>
    <t>Neuron relevance</t>
  </si>
  <si>
    <t>k-means for clustering</t>
  </si>
  <si>
    <t>Cluster relevant neurons</t>
  </si>
  <si>
    <t>Clusters</t>
  </si>
  <si>
    <t>Measure silhouette index</t>
  </si>
  <si>
    <t>Enable automated identification of optimal number of cluster</t>
  </si>
  <si>
    <t>707, III</t>
  </si>
  <si>
    <t>use importance-driven coverage</t>
  </si>
  <si>
    <t>as test adequacy criteria of deep learning systems</t>
  </si>
  <si>
    <t>708,5.2</t>
  </si>
  <si>
    <t>use publicly available datasets</t>
  </si>
  <si>
    <t>use models with different architecture, complexity and performance</t>
  </si>
  <si>
    <t>enable systematic and comprehensive assesment</t>
  </si>
  <si>
    <t>make implementations publicly available</t>
  </si>
  <si>
    <t>Use synthetic inputs and adversarial examples</t>
  </si>
  <si>
    <t>increase generalization, and evaluate model sensitivity</t>
  </si>
  <si>
    <t>709, 5.3</t>
  </si>
  <si>
    <t>Use boxplots to compare results</t>
  </si>
  <si>
    <t>Report results over several independent runs</t>
  </si>
  <si>
    <t>reduce randomisation bias</t>
  </si>
  <si>
    <t>10.1145 3468264.3473916</t>
  </si>
  <si>
    <t>1127, 3</t>
  </si>
  <si>
    <t>test-session results, pull-request data</t>
  </si>
  <si>
    <t>crawl data from the pipeline</t>
  </si>
  <si>
    <t>1229, 4</t>
  </si>
  <si>
    <t>test data, model</t>
  </si>
  <si>
    <t>Test-Session Recall, Test-Entity Recall:</t>
  </si>
  <si>
    <t>evaluate the perfomance of the model</t>
  </si>
  <si>
    <t>1228, 3.4</t>
  </si>
  <si>
    <t>baseline models used</t>
  </si>
  <si>
    <t>compare model perfomance</t>
  </si>
  <si>
    <t>1228, 4</t>
  </si>
  <si>
    <t>defined model performance metrics</t>
  </si>
  <si>
    <t>to defined the evaluation metrics(based on interviews at microsoft)</t>
  </si>
  <si>
    <t>803, 3.1</t>
  </si>
  <si>
    <t>defined study subject selection criteria ( k, n days)</t>
  </si>
  <si>
    <t>followed guidelines previously defined (to collect data)</t>
  </si>
  <si>
    <t>10.1145 2393596.2393671</t>
  </si>
  <si>
    <t>4, 3</t>
  </si>
  <si>
    <t xml:space="preserve">bug comments </t>
  </si>
  <si>
    <t>pattern based extraction, preprocessing</t>
  </si>
  <si>
    <t>6, 6</t>
  </si>
  <si>
    <t>tf-idf</t>
  </si>
  <si>
    <t>significance of a term</t>
  </si>
  <si>
    <t>3 and 6</t>
  </si>
  <si>
    <t>7, 8</t>
  </si>
  <si>
    <t xml:space="preserve">test data, model </t>
  </si>
  <si>
    <t>9, 8.3</t>
  </si>
  <si>
    <t>ReLink, Topic Model</t>
  </si>
  <si>
    <t>Comparision to state-of-the-art methods</t>
  </si>
  <si>
    <t>8, 8.2.2</t>
  </si>
  <si>
    <t>3-fold CV</t>
  </si>
  <si>
    <t>to learn thresholds for parameters</t>
  </si>
  <si>
    <t>7, 8.1</t>
  </si>
  <si>
    <t>use golden benchmark dataset</t>
  </si>
  <si>
    <t>same as relink</t>
  </si>
  <si>
    <t>10.1145 2884781.2884801</t>
  </si>
  <si>
    <t>10.1109 ICSE.2017.54</t>
  </si>
  <si>
    <t>522, 3</t>
  </si>
  <si>
    <t>training data oh</t>
  </si>
  <si>
    <t>OV-SVM</t>
  </si>
  <si>
    <t>classifying new data as similar or different</t>
  </si>
  <si>
    <t>Fault localization</t>
  </si>
  <si>
    <t>use existing codebase and collect feature vectors</t>
  </si>
  <si>
    <t>524, 5</t>
  </si>
  <si>
    <t>use baseline benchmark dataset</t>
  </si>
  <si>
    <t>525, V b</t>
  </si>
  <si>
    <t>testing data oh</t>
  </si>
  <si>
    <t>cross validation (leave one out, 2-fold, 3-fold)</t>
  </si>
  <si>
    <t>526, 5</t>
  </si>
  <si>
    <t>state of the art, model, benchmark dataset</t>
  </si>
  <si>
    <t>compared against baselines, also comparison agains binary classification instead of anomaly detection (C-SVM instead of only OC-SVM)</t>
  </si>
  <si>
    <t>527, V d</t>
  </si>
  <si>
    <t>feature importance analysis, evaluation of different feature sets</t>
  </si>
  <si>
    <t>to  identify the most relevant features for the models</t>
  </si>
  <si>
    <t>524, IV a</t>
  </si>
  <si>
    <t>number ranges for some of the engineered features</t>
  </si>
  <si>
    <t>values normalized to 0..1</t>
  </si>
  <si>
    <t>527, V e</t>
  </si>
  <si>
    <t>run time comparison to baseline</t>
  </si>
  <si>
    <t>10.5555 2819009.2819018</t>
  </si>
  <si>
    <t>42, IV.C</t>
  </si>
  <si>
    <t>test steps and results</t>
  </si>
  <si>
    <t>association rules</t>
  </si>
  <si>
    <t>discover patterns among test step behavior unique to false test alarms</t>
  </si>
  <si>
    <t>2 and 8</t>
  </si>
  <si>
    <t>43, IV.C</t>
  </si>
  <si>
    <t>calculate confidence (min 0.8 confidence)</t>
  </si>
  <si>
    <t>select association rules</t>
  </si>
  <si>
    <t>calculate min support value (median number of occurrences per test case in the overall set of test failure observations and multiplied by 10)</t>
  </si>
  <si>
    <t>3, 4</t>
  </si>
  <si>
    <t>44, V</t>
  </si>
  <si>
    <t>true positiv, true negativ, false positiv, false negative, Precision, Recall</t>
  </si>
  <si>
    <t>43, V.B</t>
  </si>
  <si>
    <t>Use incremental learning</t>
  </si>
  <si>
    <t>simulate realistic scenarios with the experiments</t>
  </si>
  <si>
    <t>43, V.A</t>
  </si>
  <si>
    <t>For each set of observations, we split the set of association rules into two subsets: one containing rules whose consequences indicate false test alarms (𝐹𝑃) and the other subset containing rules whose consequences indicate failures due to code defect (𝑇𝑃). To remove possible contradicting rules, we only use 𝐹𝑃 rules whose antecedents (left hand side) does not appear as antecedents in the set of 𝑇𝑃 rules.</t>
  </si>
  <si>
    <t>remove contradicting rules</t>
  </si>
  <si>
    <t>45, VI</t>
  </si>
  <si>
    <t>number of association rules and lifetime</t>
  </si>
  <si>
    <t>evaluate quality of the association rules</t>
  </si>
  <si>
    <t>44, VI.A</t>
  </si>
  <si>
    <t>plot precision and recall over time</t>
  </si>
  <si>
    <t>46, VII</t>
  </si>
  <si>
    <t>how to implement such a process</t>
  </si>
  <si>
    <t>10.1145 3377811.3380344</t>
  </si>
  <si>
    <t>open src prj</t>
  </si>
  <si>
    <t>Predicting merge request difficulty</t>
  </si>
  <si>
    <t>data merges</t>
  </si>
  <si>
    <t>defined study subject selection criteria st</t>
  </si>
  <si>
    <t>804, 3.3</t>
  </si>
  <si>
    <t>defined features: size, complexity, diffusion, development pattern and comment</t>
  </si>
  <si>
    <t>based on intuition and features reported in papers found in a literature study</t>
  </si>
  <si>
    <t>804, 3.4</t>
  </si>
  <si>
    <t>manually select 10% of instances</t>
  </si>
  <si>
    <t>manual tagging before training</t>
  </si>
  <si>
    <t>805, 3.4</t>
  </si>
  <si>
    <t>use Cohen Kappa (as validation that two authors resolutions are comparable (first 60 then comparison then each author labels the rest of the 600))</t>
  </si>
  <si>
    <t>check manual tagging agreement interrater agreemet</t>
  </si>
  <si>
    <t>validate a sample of conflicts before finishing tagging (first two authors manually labeled random sample to severe or trivial difficulty)</t>
  </si>
  <si>
    <t>to early estimate taggers agreement</t>
  </si>
  <si>
    <t>5 and 13</t>
  </si>
  <si>
    <t>805, 3.5</t>
  </si>
  <si>
    <t>numeric values merge</t>
  </si>
  <si>
    <t>check for multicollinearity with Variance Inflation Factor (VIF)</t>
  </si>
  <si>
    <t>ignoring this would lead to increased errors when estimating the model performance</t>
  </si>
  <si>
    <t>805, 3.6</t>
  </si>
  <si>
    <t>used multiple ML algorithms (SVM, Log. Regr., MLP, Bayes Net) / Use different classifiers, i.e., that have different assumptions</t>
  </si>
  <si>
    <t>reduce the risk of dependence on particular algorithm or implementation</t>
  </si>
  <si>
    <t>7 and 14</t>
  </si>
  <si>
    <t>classifiers performance metrics</t>
  </si>
  <si>
    <t>805, 3.6.2</t>
  </si>
  <si>
    <t>use Akaike Information criterion</t>
  </si>
  <si>
    <t>model selection akaike</t>
  </si>
  <si>
    <t>806, 3.6.5</t>
  </si>
  <si>
    <t>use Auto-weka</t>
  </si>
  <si>
    <t>for identifying best classifiers and parameters</t>
  </si>
  <si>
    <t>8 and 18,  , 1</t>
  </si>
  <si>
    <t>806, 3.7</t>
  </si>
  <si>
    <t>use precision and recall, AUC</t>
  </si>
  <si>
    <t>807, 4.2</t>
  </si>
  <si>
    <t>use feature subset selection (wrapper)</t>
  </si>
  <si>
    <t>select best features</t>
  </si>
  <si>
    <t>10.1109 ASE.2011.6100062</t>
  </si>
  <si>
    <t>265, 3</t>
  </si>
  <si>
    <t>bug reports and source code</t>
  </si>
  <si>
    <t>use LDA</t>
  </si>
  <si>
    <t>find traceability links between bug reports and source code (to train a model for)</t>
  </si>
  <si>
    <t>Code retrieval and traceability</t>
  </si>
  <si>
    <t>267, 3.C</t>
  </si>
  <si>
    <t>use cosine distance</t>
  </si>
  <si>
    <t>to compare topics distributions of bug reports and source code</t>
  </si>
  <si>
    <t>267, 4.A</t>
  </si>
  <si>
    <t>bug reports, source code, and links</t>
  </si>
  <si>
    <t>use gibbs sampling</t>
  </si>
  <si>
    <t>estimate LDA distributions and parameters</t>
  </si>
  <si>
    <t>269, 4.A</t>
  </si>
  <si>
    <t>diverse study subjects</t>
  </si>
  <si>
    <t>represent bug reports and source code as bag of words</t>
  </si>
  <si>
    <t>find traceability links between( to represent bug reports and source code)</t>
  </si>
  <si>
    <t>269, 4.B</t>
  </si>
  <si>
    <t>stopwords/grammatical words removal</t>
  </si>
  <si>
    <t>2, 12</t>
  </si>
  <si>
    <t>normalization 0062</t>
  </si>
  <si>
    <t>2, 13</t>
  </si>
  <si>
    <t>determine and remove common words</t>
  </si>
  <si>
    <t>3, 18, 17</t>
  </si>
  <si>
    <t>269, 4 C</t>
  </si>
  <si>
    <t>data and models</t>
  </si>
  <si>
    <t>time-aware 10-fold CV</t>
  </si>
  <si>
    <t>allow past data to predict recent data</t>
  </si>
  <si>
    <t>269, 4.D</t>
  </si>
  <si>
    <t>270, 4.E</t>
  </si>
  <si>
    <t>sensitivity analysis</t>
  </si>
  <si>
    <t>21, 5</t>
  </si>
  <si>
    <t>use state-of-the-art approaches 00062</t>
  </si>
  <si>
    <t>model vs baselines and data</t>
  </si>
  <si>
    <t>assess model performance vs state-of-the-art</t>
  </si>
  <si>
    <t>15. 16</t>
  </si>
  <si>
    <t>269, 4.C</t>
  </si>
  <si>
    <t>predicted links, gold set</t>
  </si>
  <si>
    <t>intersection between top rank and gold set</t>
  </si>
  <si>
    <t>10.1145 2884781.2884804</t>
  </si>
  <si>
    <t>13, 5</t>
  </si>
  <si>
    <t>Pg 297, section I</t>
  </si>
  <si>
    <t>training data (token vectors extracted from programs’ ASTs)</t>
  </si>
  <si>
    <t>use deep belief network</t>
  </si>
  <si>
    <t>to automatically learn semantic features</t>
  </si>
  <si>
    <t>Pg 298, section 1</t>
  </si>
  <si>
    <t>faulty source code</t>
  </si>
  <si>
    <t>convert the code snippets into vectors of tokens with structural and contextual information preserved</t>
  </si>
  <si>
    <t>learn features fron snippets</t>
  </si>
  <si>
    <t>Pg 299, section 3.1</t>
  </si>
  <si>
    <t>parse AST and extract three types of AST nodes as tokens</t>
  </si>
  <si>
    <t>to extract syntactic information from source code</t>
  </si>
  <si>
    <t>Pg 300, section 3.2.1</t>
  </si>
  <si>
    <t>Closest List Noise Identiﬁcation (CLNI) based on edit distance similarity</t>
  </si>
  <si>
    <t>detect and eliminate mislabeling data</t>
  </si>
  <si>
    <t>ﬁlter out infrequent AST</t>
  </si>
  <si>
    <t>to ensure generalizability</t>
  </si>
  <si>
    <t>4, 16</t>
  </si>
  <si>
    <t>Pg 300, section 3.2.2</t>
  </si>
  <si>
    <t>tokens</t>
  </si>
  <si>
    <t>map between integers and tokens</t>
  </si>
  <si>
    <t>to convert tokens to numerical vectors</t>
  </si>
  <si>
    <t>integer vectors</t>
  </si>
  <si>
    <t>append 0 to the integer vectors to make all the lengths consistent and equal to the length of the longest vecto</t>
  </si>
  <si>
    <t>to meet requirement of DBN (i.e., satisfy the DBN input range), same length</t>
  </si>
  <si>
    <t>7, 23, 22</t>
  </si>
  <si>
    <t>Pg 301, section 4.1</t>
  </si>
  <si>
    <t>Precision, Recall, and F1</t>
  </si>
  <si>
    <t>measure defect prediction results</t>
  </si>
  <si>
    <t>Pg 301, sectiion 4.2</t>
  </si>
  <si>
    <t>use publicly available data from the PROMISE data repository</t>
  </si>
  <si>
    <t>8, 25</t>
  </si>
  <si>
    <t>Pg 301, section 4.3</t>
  </si>
  <si>
    <t>datasets and model</t>
  </si>
  <si>
    <t>construct baseline with 20 traditional features</t>
  </si>
  <si>
    <t>evaluate the performance of semantic features in defect prediction</t>
  </si>
  <si>
    <t>9, 20</t>
  </si>
  <si>
    <t>Pg 301, section 4.4</t>
  </si>
  <si>
    <t>conducting experiments with diﬀerent values of the parameters</t>
  </si>
  <si>
    <t>to tune the parameters</t>
  </si>
  <si>
    <t>10, 26</t>
  </si>
  <si>
    <t>Pg 302, sectiion 4.5</t>
  </si>
  <si>
    <t>datasets and models</t>
  </si>
  <si>
    <t>build defect prediction models using shallow machine learning classifiers ( ADTree, Naive Bayes, and Logistic Regression)</t>
  </si>
  <si>
    <t>examine the performance of our semantic features in within-project defect prediction</t>
  </si>
  <si>
    <t>page 301, section 4.5</t>
  </si>
  <si>
    <t>resampling with SMOTE</t>
  </si>
  <si>
    <t>rebalance the dataset</t>
  </si>
  <si>
    <t>Pg 303, sectiion 5</t>
  </si>
  <si>
    <t>model and datasets</t>
  </si>
  <si>
    <t>run DBN-based feature generation approach five times for each experiment</t>
  </si>
  <si>
    <t>to consider DBN (deep belief network) randomness</t>
  </si>
  <si>
    <t>Page 304, sectiion 5</t>
  </si>
  <si>
    <t>keep track of the time cost and memory space cost</t>
  </si>
  <si>
    <t>evaluate model performance</t>
  </si>
  <si>
    <t>29, 12</t>
  </si>
  <si>
    <t>compare to state-of-the-art technique ( TCA+)</t>
  </si>
  <si>
    <t>10.1109 ICSE.2013.6606651</t>
  </si>
  <si>
    <t>Pg 2, Section II.A</t>
  </si>
  <si>
    <t>Performance counters</t>
  </si>
  <si>
    <t>Random sampling with a control chart</t>
  </si>
  <si>
    <t>to train a model for predicting performance deviations</t>
  </si>
  <si>
    <t>Pg 3, Section II.B</t>
  </si>
  <si>
    <t>k-Means clustering with a control chart</t>
  </si>
  <si>
    <t>Pg 3, Section II.C</t>
  </si>
  <si>
    <t>PCA based on PCA weights</t>
  </si>
  <si>
    <t>Page 4, Section II.D</t>
  </si>
  <si>
    <t>WRAPPER with logistic regression (with default values)</t>
  </si>
  <si>
    <t>Section 2.C</t>
  </si>
  <si>
    <t>performance counters data</t>
  </si>
  <si>
    <t>use unite variance scaling</t>
  </si>
  <si>
    <t>to eliminate PCA bias towards variables with larger variance</t>
  </si>
  <si>
    <t>principal components</t>
  </si>
  <si>
    <t>use 90% cummulative variability</t>
  </si>
  <si>
    <t>select top -x pincipal components</t>
  </si>
  <si>
    <t>principal components (PCs)</t>
  </si>
  <si>
    <t>use eigenvector decomposition</t>
  </si>
  <si>
    <t>to decompose top-x PCs and understand relation between PC and initial features</t>
  </si>
  <si>
    <t>Section 2</t>
  </si>
  <si>
    <t>remove empty performance counter variables (using list-wise deletion)</t>
  </si>
  <si>
    <t>to sanitize performance counter data</t>
  </si>
  <si>
    <t>manually label data (passed or failed)</t>
  </si>
  <si>
    <t>to assign a label to instances (pass or failed)</t>
  </si>
  <si>
    <t>Section 2.D</t>
  </si>
  <si>
    <t>do not tune the parameters for the Genetic search</t>
  </si>
  <si>
    <t>To keep the WRAPPER approach as the most basic supervised approach</t>
  </si>
  <si>
    <t>cross validation</t>
  </si>
  <si>
    <t>to validate the model attribute selection (i.e., model results)</t>
  </si>
  <si>
    <t>6, 7, 8, 19</t>
  </si>
  <si>
    <t>Section 3</t>
  </si>
  <si>
    <t>model + test data</t>
  </si>
  <si>
    <t>use precision, recall and F-measure</t>
  </si>
  <si>
    <t>5, 20</t>
  </si>
  <si>
    <t>Page 6, Section III.C</t>
  </si>
  <si>
    <t>Account for random fluctuations</t>
  </si>
  <si>
    <t>10.1145 3338906.3338951</t>
  </si>
  <si>
    <t>Page 4, Section 4.1</t>
  </si>
  <si>
    <t>Specification</t>
  </si>
  <si>
    <t>LSTM as sequence to sequence model</t>
  </si>
  <si>
    <t>Neural machine translation of specifications</t>
  </si>
  <si>
    <t>Specification synthesis</t>
  </si>
  <si>
    <t>Page 5, Section 4.2</t>
  </si>
  <si>
    <t>Specification terms</t>
  </si>
  <si>
    <t>Association rule mining with apriori</t>
  </si>
  <si>
    <t>Provide additional information about specifications to enable ranking refinement</t>
  </si>
  <si>
    <t>Page 6, Section 4.3</t>
  </si>
  <si>
    <t>Specification, score</t>
  </si>
  <si>
    <t>Custom score refinement algorithm</t>
  </si>
  <si>
    <t>Refine ranking of candidates from LSTM based on associations</t>
  </si>
  <si>
    <t>Page 7, Section 6</t>
  </si>
  <si>
    <t>data collection from StackOverflow</t>
  </si>
  <si>
    <t>Enable reproduction of experiment</t>
  </si>
  <si>
    <t>Raw text data from StackOverflow</t>
  </si>
  <si>
    <t>Extraction of relevant information</t>
  </si>
  <si>
    <t>Identify relevant data</t>
  </si>
  <si>
    <t>Page 8, Section 6</t>
  </si>
  <si>
    <t>Grid search for hyper parameter tuning</t>
  </si>
  <si>
    <t>Tune model</t>
  </si>
  <si>
    <t>Page 9, Section 7.1</t>
  </si>
  <si>
    <t>State of the art baselines 8951</t>
  </si>
  <si>
    <t>8, 9</t>
  </si>
  <si>
    <t>Measure Top-k accuracy (k=1, 3), speedup</t>
  </si>
  <si>
    <t>10.1145 3324884.3416570</t>
  </si>
  <si>
    <t>80, Section 2.2 and 82, Section 3.2</t>
  </si>
  <si>
    <t>reinforcement learning (ANN and CNN), adjust loss function</t>
  </si>
  <si>
    <t>to train a model for generating passing test programs via structural mutation</t>
  </si>
  <si>
    <t>Bug detection</t>
  </si>
  <si>
    <t>83, Section 4.1</t>
  </si>
  <si>
    <t>to collect (open-source compilers and compiler bugs) test and train data</t>
  </si>
  <si>
    <t>Page 82, Section 3.2</t>
  </si>
  <si>
    <t>tested programs</t>
  </si>
  <si>
    <t>use Jaccard distance</t>
  </si>
  <si>
    <t>to measure coverage distance between 2 test programs and used it as part of reward function</t>
  </si>
  <si>
    <t>Page 83, section 4.1</t>
  </si>
  <si>
    <t>Page 84, section 4.3</t>
  </si>
  <si>
    <t>Approaches were executed 5 times, and median results were computed</t>
  </si>
  <si>
    <t>to reduce the influence of randomness</t>
  </si>
  <si>
    <t>ablation study removing components</t>
  </si>
  <si>
    <t>to evaluate how different models affects the results</t>
  </si>
  <si>
    <t>84, Section 4.4</t>
  </si>
  <si>
    <t>test data + model</t>
  </si>
  <si>
    <t>Top-n, Mean First Ranking, Mean Average Ranking</t>
  </si>
  <si>
    <t>evaluate the perfomance</t>
  </si>
  <si>
    <t>Page 86, section 4.5</t>
  </si>
  <si>
    <t>Use box/violin plots</t>
  </si>
  <si>
    <t>to compare approaches</t>
  </si>
  <si>
    <t>10.1109 ASE.2019.00011</t>
  </si>
  <si>
    <t>2, Section 2</t>
  </si>
  <si>
    <t>AST, comments</t>
  </si>
  <si>
    <t>Code2Vec model building</t>
  </si>
  <si>
    <t>to train a model for code embedding</t>
  </si>
  <si>
    <t>Page 2, Section 1</t>
  </si>
  <si>
    <t>---</t>
  </si>
  <si>
    <t>Page 4, Section 1</t>
  </si>
  <si>
    <t>use existing dataset</t>
  </si>
  <si>
    <t>2, 6, 9, 10</t>
  </si>
  <si>
    <t>4, Section 3</t>
  </si>
  <si>
    <t>public source code from java projects</t>
  </si>
  <si>
    <t>use a special token</t>
  </si>
  <si>
    <t>to mark words out of the vocabulary (not common words)</t>
  </si>
  <si>
    <t>code data</t>
  </si>
  <si>
    <t>use AST</t>
  </si>
  <si>
    <t>prepare data for sequence to sequence model</t>
  </si>
  <si>
    <t>AST</t>
  </si>
  <si>
    <t>Structure-Based Traversal (SBT)</t>
  </si>
  <si>
    <t>prepare data for model training</t>
  </si>
  <si>
    <t>embedded data</t>
  </si>
  <si>
    <t>Recurrent Neural Network Seq2Seq</t>
  </si>
  <si>
    <t>to train a model for comment generation</t>
  </si>
  <si>
    <t>Comment generation</t>
  </si>
  <si>
    <t>Page 4, Section 3A</t>
  </si>
  <si>
    <t>embeddings + model</t>
  </si>
  <si>
    <t>ablation study (use different data preprocesing (lower case/not))</t>
  </si>
  <si>
    <t>to evaluate how different data preprocessing affects the results</t>
  </si>
  <si>
    <t>11, 13</t>
  </si>
  <si>
    <t>ablation study (use different  embeddings)</t>
  </si>
  <si>
    <t>to evaluate how different embeddings affects the results</t>
  </si>
  <si>
    <t>Page 6, Section 3C</t>
  </si>
  <si>
    <t>model + benchmark + data</t>
  </si>
  <si>
    <t>Page 3, section 3A</t>
  </si>
  <si>
    <t>use BLEU</t>
  </si>
  <si>
    <t>to evaluate the performance of machine translation of natural language</t>
  </si>
  <si>
    <t>Page 7, Section 3C</t>
  </si>
  <si>
    <t>use precision, recall, F1</t>
  </si>
  <si>
    <t>Page 5, Section 3B</t>
  </si>
  <si>
    <t>TF-IDF features</t>
  </si>
  <si>
    <t>use Anova F-value</t>
  </si>
  <si>
    <t>to select feature selection</t>
  </si>
  <si>
    <t>Code embeddings generalization</t>
  </si>
  <si>
    <t>10.1109 ICSE.2019.00019</t>
  </si>
  <si>
    <t>page: 3, section: III a</t>
  </si>
  <si>
    <t>method name</t>
  </si>
  <si>
    <t>tokenization via split camel case and underscore into list of words</t>
  </si>
  <si>
    <t>to prepare it for ParagraphVector</t>
  </si>
  <si>
    <t>Inconsistent method name detection</t>
  </si>
  <si>
    <t>method code</t>
  </si>
  <si>
    <t>tokenization via AST parsing, replacing identifier names with their type, include AST Type for each node</t>
  </si>
  <si>
    <t>used as input to Word2Vec which is then used as input to CNN (LeNet5)</t>
  </si>
  <si>
    <t>10, 2</t>
  </si>
  <si>
    <t>Page 3, section 3.B</t>
  </si>
  <si>
    <t>Token sequences of method names</t>
  </si>
  <si>
    <t>use ParagraphVector</t>
  </si>
  <si>
    <t>to represent words into a limited vector space</t>
  </si>
  <si>
    <t>10, 1</t>
  </si>
  <si>
    <t>Page 4, section 3.B</t>
  </si>
  <si>
    <t>Token sequences of method bodies</t>
  </si>
  <si>
    <t>use Word2Vec</t>
  </si>
  <si>
    <t>vector representations</t>
  </si>
  <si>
    <t>appends PAD vectors (i.e., zero vectors)</t>
  </si>
  <si>
    <t>to make all vector sizes consistent with the size of the longest one before feeding CNN</t>
  </si>
  <si>
    <t>Page 5, section 3.B</t>
  </si>
  <si>
    <t>two-dimensional numeric vectors of method bodies</t>
  </si>
  <si>
    <t>Use CNNs</t>
  </si>
  <si>
    <t>to suggest method names</t>
  </si>
  <si>
    <t>Page 6, section 4</t>
  </si>
  <si>
    <t>from open source projects from four different communities, namely Apache, Spring, Hibernate, and Google</t>
  </si>
  <si>
    <t>page: 6, section: IV</t>
  </si>
  <si>
    <t>data from open source projects</t>
  </si>
  <si>
    <t>filtering data, only projects with at least 100 commits and only from well known communities: google, apapche, spring and hibernate</t>
  </si>
  <si>
    <t>to remove noise</t>
  </si>
  <si>
    <t>4, 15</t>
  </si>
  <si>
    <t>method name and code pairs</t>
  </si>
  <si>
    <t>filter noisy data (constructors,main, example methods)</t>
  </si>
  <si>
    <t>exclude test data methods from the corpus</t>
  </si>
  <si>
    <t>create test data, and prevent data leakage</t>
  </si>
  <si>
    <t>methods dataset</t>
  </si>
  <si>
    <t>filter empty methods</t>
  </si>
  <si>
    <t>filter method names without alphabetic letters</t>
  </si>
  <si>
    <t>to avoid having undescriptive methods</t>
  </si>
  <si>
    <t>page: 7, section: Vb</t>
  </si>
  <si>
    <t>list of suggested method names (model output)</t>
  </si>
  <si>
    <t xml:space="preserve">tried different ranking strategies for evaluation ((Inconsistency avoidance), (First-token accuracy), (Full-name accuracy)) </t>
  </si>
  <si>
    <t>Page 7, section 5.A</t>
  </si>
  <si>
    <t>compute Precision, Recall, F1-measure and Accuracy</t>
  </si>
  <si>
    <t>to compute model performance</t>
  </si>
  <si>
    <t>7, 23</t>
  </si>
  <si>
    <t>page: 8, section: Vc</t>
  </si>
  <si>
    <t>comparison against state-of-the-art</t>
  </si>
  <si>
    <t>to evaluate the model against baseline</t>
  </si>
  <si>
    <t>methods dataset (TRAINING DATA)</t>
  </si>
  <si>
    <t>limit the training data to methods with reasonable size, and pick the size based on the method name length distribution</t>
  </si>
  <si>
    <t>to avoid the explosion of code tokens which can degrade performance</t>
  </si>
  <si>
    <t>Page 7, section 4</t>
  </si>
  <si>
    <t>select model hyperparameters based on existing literarture</t>
  </si>
  <si>
    <t>to select best hyperparameters</t>
  </si>
  <si>
    <t>10.1145 3324884.3416624</t>
  </si>
  <si>
    <t>Page 378, section 4</t>
  </si>
  <si>
    <t>incident information</t>
  </si>
  <si>
    <t>use deep learning-based classification</t>
  </si>
  <si>
    <t>classify incidents into essential por incidental</t>
  </si>
  <si>
    <t>Incident priorization</t>
  </si>
  <si>
    <t>Page 378, section 4.2</t>
  </si>
  <si>
    <t>discretes values in incident information</t>
  </si>
  <si>
    <t>use feature embedding</t>
  </si>
  <si>
    <t>to represent discrete values (i.e., embed feature discrete values into a fixed-dimension vector)</t>
  </si>
  <si>
    <t>Page 379, Section 4.2.2</t>
  </si>
  <si>
    <t>textual descriptions of incidents</t>
  </si>
  <si>
    <t>lightweight text pre-processing (tokenization, stop words, splitting)</t>
  </si>
  <si>
    <t>to process textual descriptions</t>
  </si>
  <si>
    <t>pre-processed textual descriptions</t>
  </si>
  <si>
    <t>embed words using a word vector pre-trained on historical incident data</t>
  </si>
  <si>
    <t>to transform textual description into a matrix</t>
  </si>
  <si>
    <t>matrix representation of textual descriptions</t>
  </si>
  <si>
    <t>Use a CNN based neural-language model</t>
  </si>
  <si>
    <t>to encodes the matrix for an incident into a vector</t>
  </si>
  <si>
    <t>vector representation of textual descriptions</t>
  </si>
  <si>
    <t>introduce an attention mechanism</t>
  </si>
  <si>
    <t>to automatically learn the weights of relevant incidents.</t>
  </si>
  <si>
    <t>Page 380, Section 5</t>
  </si>
  <si>
    <t>split training and testing data taking into account temporal relations</t>
  </si>
  <si>
    <t>to split data when working with incident data</t>
  </si>
  <si>
    <t>Page 380, Section 5.1</t>
  </si>
  <si>
    <t>use grid search</t>
  </si>
  <si>
    <t>to optimize parameters of deep model</t>
  </si>
  <si>
    <t>16, 4</t>
  </si>
  <si>
    <t>model and data</t>
  </si>
  <si>
    <t>compute effectivenes (i.e., AUC, precision, recall) and efficiency (training and predicting time)</t>
  </si>
  <si>
    <t>to measure performance of deep model</t>
  </si>
  <si>
    <t>17, 3</t>
  </si>
  <si>
    <t>Page 381, Section 5.2</t>
  </si>
  <si>
    <t>effectiveness values</t>
  </si>
  <si>
    <t>use wilcoxon text (alpha = 0.05)</t>
  </si>
  <si>
    <t>to compare approaches performance</t>
  </si>
  <si>
    <t>page: 381, section: 6</t>
  </si>
  <si>
    <t>ablation study with differnt time windows</t>
  </si>
  <si>
    <t>measure the effectiveness of different time windows in the model results</t>
  </si>
  <si>
    <t>incident priorization</t>
  </si>
  <si>
    <t>model(s)</t>
  </si>
  <si>
    <t>test of generatlity with a completely unrelated project</t>
  </si>
  <si>
    <t>test of generaliyation of model</t>
  </si>
  <si>
    <t>page: 381, section: 5.2</t>
  </si>
  <si>
    <t>run time and inference time comparisons</t>
  </si>
  <si>
    <t>to evaluate model response time</t>
  </si>
  <si>
    <t>page: 380, section: 5.1.1</t>
  </si>
  <si>
    <t>compared against other approaches (nearest as this is not directly comparable)</t>
  </si>
  <si>
    <t>to compare against other performance, when not directly comparable approaches available</t>
  </si>
  <si>
    <t>ICSE</t>
  </si>
  <si>
    <t>ASE</t>
  </si>
  <si>
    <t>FSE</t>
  </si>
  <si>
    <t>10.1109 ICSE43902.2021.00138</t>
  </si>
  <si>
    <t>10.1109 ASE51524.2021.9678946</t>
  </si>
  <si>
    <t>10.1109 ICSE43902.2021.00066</t>
  </si>
  <si>
    <t>10.1109 ICSE43902.2021.00026</t>
  </si>
  <si>
    <t>DOI</t>
  </si>
  <si>
    <t>Venue_not_official</t>
  </si>
  <si>
    <t>Action</t>
  </si>
  <si>
    <t>Venue</t>
  </si>
  <si>
    <t>Year</t>
  </si>
  <si>
    <t>ASE21</t>
  </si>
  <si>
    <t>Should be dropped</t>
  </si>
  <si>
    <t>ICSE21</t>
  </si>
  <si>
    <t>FSE11</t>
  </si>
  <si>
    <t>ASE12</t>
  </si>
  <si>
    <t>FSE12</t>
  </si>
  <si>
    <t>FSE2013</t>
  </si>
  <si>
    <t>ICSE2014</t>
  </si>
  <si>
    <t>FSE2014</t>
  </si>
  <si>
    <t>ASE14</t>
  </si>
  <si>
    <t>FSE15</t>
  </si>
  <si>
    <t>ICSE16</t>
  </si>
  <si>
    <t>FSE16</t>
  </si>
  <si>
    <t>ASE16</t>
  </si>
  <si>
    <t>FSE17</t>
  </si>
  <si>
    <t>ICSE18</t>
  </si>
  <si>
    <t>FSE18</t>
  </si>
  <si>
    <t>ASE18</t>
  </si>
  <si>
    <t>ASE20</t>
  </si>
  <si>
    <t>FSE19</t>
  </si>
  <si>
    <t>FSE20</t>
  </si>
  <si>
    <t>ICSE20</t>
  </si>
  <si>
    <t>FSE2021</t>
  </si>
  <si>
    <t>ICSE15</t>
  </si>
  <si>
    <t>ANA?</t>
  </si>
  <si>
    <t>ID-tagger</t>
  </si>
  <si>
    <t>D</t>
  </si>
  <si>
    <t>347, Section 4A</t>
  </si>
  <si>
    <t>build AST of the source code</t>
  </si>
  <si>
    <t>348, Section 4A</t>
  </si>
  <si>
    <t>stopword removal, stemming, indexing</t>
  </si>
  <si>
    <t>348, Section 4C</t>
  </si>
  <si>
    <t xml:space="preserve">previous source code </t>
  </si>
  <si>
    <t>TF-IDF</t>
  </si>
  <si>
    <t>remove stop words (INDRI https://github.com/igorbrigadir/stopwords/blob/master/en/indri.txt)</t>
  </si>
  <si>
    <t>model and test data</t>
  </si>
  <si>
    <t>Hit@N, MRR, MAP</t>
  </si>
  <si>
    <t>351, Section 6</t>
  </si>
  <si>
    <t>state of the art</t>
  </si>
  <si>
    <t>compare perfomance against state of the art</t>
  </si>
  <si>
    <t>G</t>
  </si>
  <si>
    <r>
      <rPr>
        <rFont val="Arial, sans-serif"/>
        <color rgb="FF000000"/>
      </rPr>
      <t xml:space="preserve">remove stop words (INDRI </t>
    </r>
    <r>
      <rPr>
        <rFont val="Arial, sans-serif"/>
        <color rgb="FF1155CC"/>
        <u/>
      </rPr>
      <t>https://github.com/igorbrigadir/stopwords/blob/master/en/indri.txt)</t>
    </r>
  </si>
  <si>
    <t>perform a set of evaluations in which they used each feature separately for ranking.</t>
  </si>
  <si>
    <t>directly comparision</t>
  </si>
  <si>
    <t>388, Section 3.3</t>
  </si>
  <si>
    <t>words of the data set</t>
  </si>
  <si>
    <t>build word2vec</t>
  </si>
  <si>
    <t>feed identifiers into the neural network</t>
  </si>
  <si>
    <t xml:space="preserve">distance metrics presented by Tsantalis and Chatzigeorgiou </t>
  </si>
  <si>
    <t>388, Section 3.4</t>
  </si>
  <si>
    <t xml:space="preserve">word2vec data </t>
  </si>
  <si>
    <t>build CNN</t>
  </si>
  <si>
    <t>NLP preprocessing: length limitations of the word sequenence and captial letters and underscores</t>
  </si>
  <si>
    <t>389, Section 3.5</t>
  </si>
  <si>
    <t>use data set open-source applications</t>
  </si>
  <si>
    <t>389, Section 3.4</t>
  </si>
  <si>
    <t>use binary_crossentropy</t>
  </si>
  <si>
    <t>390, Section 4.3</t>
  </si>
  <si>
    <t>test and training data</t>
  </si>
  <si>
    <t>use k-fold cross validation</t>
  </si>
  <si>
    <t>391, Section 4.3</t>
  </si>
  <si>
    <t>deep neural based classifier</t>
  </si>
  <si>
    <t>392, Section 4.6</t>
  </si>
  <si>
    <t>other models and the developed model</t>
  </si>
  <si>
    <t xml:space="preserve">precision, recall, and F1 </t>
  </si>
  <si>
    <t>accuracy (correct recomendations/total true positives)</t>
  </si>
  <si>
    <t>to evaluate the recomendation  performance</t>
  </si>
  <si>
    <t>A</t>
  </si>
  <si>
    <t>690-3</t>
  </si>
  <si>
    <t>Bug report and code</t>
  </si>
  <si>
    <t>Vector space model - TF_IDF</t>
  </si>
  <si>
    <t>Represent bug report and code</t>
  </si>
  <si>
    <t>691-3</t>
  </si>
  <si>
    <t>AST of code</t>
  </si>
  <si>
    <t>Represent code methods independently</t>
  </si>
  <si>
    <t>690-2</t>
  </si>
  <si>
    <t>VSM representations of code and bug</t>
  </si>
  <si>
    <t>Weighted ranking model</t>
  </si>
  <si>
    <t>Rank code with respect to bug report</t>
  </si>
  <si>
    <t>Cosine similarity</t>
  </si>
  <si>
    <t>Calculate the similarity of different representations of code vs the bug report</t>
  </si>
  <si>
    <t>693-5</t>
  </si>
  <si>
    <t>SVM rank</t>
  </si>
  <si>
    <t>Learn feature importances to rank code</t>
  </si>
  <si>
    <t>Model and results</t>
  </si>
  <si>
    <t>Accuracy@k</t>
  </si>
  <si>
    <t>MAP</t>
  </si>
  <si>
    <t>MRR</t>
  </si>
  <si>
    <t xml:space="preserve">AspectJ code is smaller </t>
  </si>
  <si>
    <t xml:space="preserve">ensure data usefulness by filtering information that was not related to the purpose  </t>
  </si>
  <si>
    <t>to train and optimize the weights that capture
domain dependent relationships between a bug report r and
a source code file s.</t>
  </si>
  <si>
    <t>create a disjoint set for training and testing</t>
  </si>
  <si>
    <t>calculate Accuracy@k, with different values of k</t>
  </si>
  <si>
    <t>E</t>
  </si>
  <si>
    <t>page: 338, section: 3.1</t>
  </si>
  <si>
    <t>textual information</t>
  </si>
  <si>
    <t>tokenization, special character removal, lowercase conversion</t>
  </si>
  <si>
    <t>page: 339, section: 3.2.1</t>
  </si>
  <si>
    <t>mini batch sampling</t>
  </si>
  <si>
    <t>popular technique, boost performances and accelerates the training process</t>
  </si>
  <si>
    <t>page: 340, section: 3.2.2</t>
  </si>
  <si>
    <t>input sentences</t>
  </si>
  <si>
    <t>using BERT embedding instead of traditional embeddings</t>
  </si>
  <si>
    <t>to avoid large embedding sizes due to large vocabulary</t>
  </si>
  <si>
    <t>padding, truncation</t>
  </si>
  <si>
    <t>to align input length</t>
  </si>
  <si>
    <t>page: 340, section: 3.2.3</t>
  </si>
  <si>
    <t>combined loss of both tasks as general loss for the model</t>
  </si>
  <si>
    <t>to eavesdrop by shared loss function</t>
  </si>
  <si>
    <t>page: 340, section: 3.3.1</t>
  </si>
  <si>
    <t>early stopping after 10 steps</t>
  </si>
  <si>
    <t>page: 340, section: 3.3.2</t>
  </si>
  <si>
    <t>hyper parameter tuning</t>
  </si>
  <si>
    <t>previous studies have found that hyper parameter tuning is important to achieve better performance</t>
  </si>
  <si>
    <t>page: 341, section: 4.3.2</t>
  </si>
  <si>
    <t>compare to baselines and state-of-the-art</t>
  </si>
  <si>
    <t>to embed to a semantic layer</t>
  </si>
  <si>
    <t>page: 341, section: 4.3.3</t>
  </si>
  <si>
    <t>page: 342, section: 4.5</t>
  </si>
  <si>
    <t>use precision, recall, F1, accuracy</t>
  </si>
  <si>
    <t>commonly used evaluation metrics</t>
  </si>
  <si>
    <t>1230-2</t>
  </si>
  <si>
    <t>Failure prediction and generation</t>
  </si>
  <si>
    <t>fault localization/failure prediction</t>
  </si>
  <si>
    <t>Context-free grammar</t>
  </si>
  <si>
    <t>Grammar transformation</t>
  </si>
  <si>
    <t>Extract features from input grammar representation</t>
  </si>
  <si>
    <t>to encode production tules into numeric features</t>
  </si>
  <si>
    <t>1231-3</t>
  </si>
  <si>
    <t>1234-5</t>
  </si>
  <si>
    <t>Training dataset generation and splitting</t>
  </si>
  <si>
    <t>Precision</t>
  </si>
  <si>
    <t>1235-5</t>
  </si>
  <si>
    <t>Input generation</t>
  </si>
  <si>
    <t>to generate samples</t>
  </si>
  <si>
    <t>to evaluate the their model (Alhazen) as a producer</t>
  </si>
  <si>
    <t>C</t>
  </si>
  <si>
    <t>Page 4, Section 2.2.1</t>
  </si>
  <si>
    <t>Measure problem specific performance markers (coverage, fault detection rate)</t>
  </si>
  <si>
    <t>Use suitable evaluation criteria</t>
  </si>
  <si>
    <t>Page 5, Section 3.2</t>
  </si>
  <si>
    <t>Use normalized TF-IDF as text features</t>
  </si>
  <si>
    <t>Use results from the past as features</t>
  </si>
  <si>
    <t>Use combination of text and history features</t>
  </si>
  <si>
    <t>Page 6, Section 4.2</t>
  </si>
  <si>
    <t>Use simple baselines</t>
  </si>
  <si>
    <t>Evaluate improvement over simple heuristics</t>
  </si>
  <si>
    <t>Evaluate improvement over state-of-the-art</t>
  </si>
  <si>
    <t>Page 8, Section 4.3</t>
  </si>
  <si>
    <t>6, 14</t>
  </si>
  <si>
    <t>5, 15</t>
  </si>
  <si>
    <t>simple baselines (not blackbox)</t>
  </si>
  <si>
    <t>page: 257, section: III a</t>
  </si>
  <si>
    <t>obtained data</t>
  </si>
  <si>
    <t>10-fold CV</t>
  </si>
  <si>
    <t>page 257, section 3.B</t>
  </si>
  <si>
    <t>α ratio of projects affected,  β ratio of methods in a projectts affected,  Ω number of fake APIs injected to each declaration α={5%, 10%, 15%, 20%}, β={40%, 50%, 60%}, Ω={1, 2}</t>
  </si>
  <si>
    <t>experiment with different α, β, Ω</t>
  </si>
  <si>
    <t>to tune adversarial attack</t>
  </si>
  <si>
    <t>1, 3</t>
  </si>
  <si>
    <t>10 fold cross-validation</t>
  </si>
  <si>
    <t>to train adversarial attack</t>
  </si>
  <si>
    <t>use  Hit ratio HR@N</t>
  </si>
  <si>
    <t>to test model performance</t>
  </si>
  <si>
    <t>Page 2, Section 2</t>
  </si>
  <si>
    <t>Describe re-used model</t>
  </si>
  <si>
    <t>Foster understanding of studied techniques</t>
  </si>
  <si>
    <t>Repeated model execution 20 times</t>
  </si>
  <si>
    <t>Enable robust measurement of performance</t>
  </si>
  <si>
    <t>Evaluate relationships between result with linear regression</t>
  </si>
  <si>
    <t>Understand linear and co-linear relationships</t>
  </si>
  <si>
    <t>Understand reasons for and impact of overfitting</t>
  </si>
  <si>
    <t>Learn about suitable training data</t>
  </si>
  <si>
    <t>understand relationship betwen results</t>
  </si>
  <si>
    <t>F</t>
  </si>
  <si>
    <t>boolean arrays representing line coverage</t>
  </si>
  <si>
    <t>use clustering</t>
  </si>
  <si>
    <t>cluster configurations</t>
  </si>
  <si>
    <t>Implementation</t>
  </si>
  <si>
    <t>Discover high-coverage configurations</t>
  </si>
  <si>
    <t>clusters</t>
  </si>
  <si>
    <t>dis- cover commonalities among configurations in each of the clusters</t>
  </si>
  <si>
    <t>use state-of-the-art approaches</t>
  </si>
  <si>
    <t>page 907, section III</t>
  </si>
  <si>
    <t xml:space="preserve">use trees </t>
  </si>
  <si>
    <t xml:space="preserve">CLOPE repulsions values (0.5 to 4) </t>
  </si>
  <si>
    <t>automated voting system</t>
  </si>
  <si>
    <t>to adaptively select an appropriate repulsion value</t>
  </si>
  <si>
    <t>1413-4.2</t>
  </si>
  <si>
    <t>MonteCarlo Control Guide</t>
  </si>
  <si>
    <t>Reinforcement learning</t>
  </si>
  <si>
    <t>Create generator for test inputs</t>
  </si>
  <si>
    <t>use monte carlo as baseline</t>
  </si>
  <si>
    <t xml:space="preserve">Monte carlo algorithm </t>
  </si>
  <si>
    <t>to not aasume that ater decisions are more important than earlier ones</t>
  </si>
  <si>
    <t>308-3</t>
  </si>
  <si>
    <t>Incidents description</t>
  </si>
  <si>
    <t>FastText</t>
  </si>
  <si>
    <t>Convert into matrix of word embeddings</t>
  </si>
  <si>
    <t>309-3</t>
  </si>
  <si>
    <t>Embeddings</t>
  </si>
  <si>
    <t>1-D convolutional kernel and max pooling</t>
  </si>
  <si>
    <t>Siamese network</t>
  </si>
  <si>
    <t>place embedding representation closer if a link exists</t>
  </si>
  <si>
    <t xml:space="preserve">Create embedding of dependencies </t>
  </si>
  <si>
    <t>309-4</t>
  </si>
  <si>
    <t>Incident Management system</t>
  </si>
  <si>
    <t>Train/ Test partition</t>
  </si>
  <si>
    <t>310-4</t>
  </si>
  <si>
    <t>Recall</t>
  </si>
  <si>
    <t xml:space="preserve">data collection from linked incidents from different services and components </t>
  </si>
  <si>
    <t>F1 - metric</t>
  </si>
  <si>
    <t>311-4</t>
  </si>
  <si>
    <t>Hyperparameter optimization</t>
  </si>
  <si>
    <t>Case study</t>
  </si>
  <si>
    <t>Model Monitoring</t>
  </si>
  <si>
    <t>page 311, section 4.6</t>
  </si>
  <si>
    <t>page 308, section 4.1</t>
  </si>
  <si>
    <t>page 308, section 4.2</t>
  </si>
  <si>
    <t>page 308, section 4.4</t>
  </si>
  <si>
    <t>427, Section 4</t>
  </si>
  <si>
    <t>linux kernel data</t>
  </si>
  <si>
    <t>create Gold standard</t>
  </si>
  <si>
    <t>use test data as a gold standard data</t>
  </si>
  <si>
    <t>428, Section 4</t>
  </si>
  <si>
    <t>ROC curve</t>
  </si>
  <si>
    <t>427, Section 3.3</t>
  </si>
  <si>
    <t>420, Section 5.2</t>
  </si>
  <si>
    <t>page 428, section 4</t>
  </si>
  <si>
    <t>model + gold standard datasets</t>
  </si>
  <si>
    <t>ROC + k- means F1 score</t>
  </si>
  <si>
    <t>to evaluate the models</t>
  </si>
  <si>
    <t>784, Section 3 A</t>
  </si>
  <si>
    <t xml:space="preserve">use a model ( Bi-GRU) </t>
  </si>
  <si>
    <t>the paper is about code represention, evaluation was for 2 SE tasks: code classification and clone detection</t>
  </si>
  <si>
    <t>786, Section 3 A</t>
  </si>
  <si>
    <t>Recurrent Neural Network</t>
  </si>
  <si>
    <t>788, Section 5 A</t>
  </si>
  <si>
    <t>benchmark data</t>
  </si>
  <si>
    <t>use public benchmark data</t>
  </si>
  <si>
    <t>789, Section 5 C</t>
  </si>
  <si>
    <t>SVM</t>
  </si>
  <si>
    <t>hidden states of the GRU</t>
  </si>
  <si>
    <t xml:space="preserve">Use a bidirectional GRU [34], where the hidden states of both directions are concatenated </t>
  </si>
  <si>
    <t>to further enhance the capability of the recurrent
layer for capturing the dependency information</t>
  </si>
  <si>
    <t>N-gram</t>
  </si>
  <si>
    <t xml:space="preserve">to evaluate their approach </t>
  </si>
  <si>
    <t>LSTM</t>
  </si>
  <si>
    <t>790, Section 5 C</t>
  </si>
  <si>
    <t>sound subject selection (popularity, domain, commits, contributors)</t>
  </si>
  <si>
    <t>commonly used evaluation metrics (F1, Accuracy)</t>
  </si>
  <si>
    <t>train / test split</t>
  </si>
  <si>
    <t>comparison against state of the art</t>
  </si>
  <si>
    <t xml:space="preserve">to tune models' hyper-parameter </t>
  </si>
  <si>
    <t>False Positive E G</t>
  </si>
  <si>
    <t>Page 523, section 4</t>
  </si>
  <si>
    <t>LTL formulas</t>
  </si>
  <si>
    <t>genetic algorithms</t>
  </si>
  <si>
    <t>find situations that capture divergences in the LTL formulas that describe the requirements</t>
  </si>
  <si>
    <t>find situations that capture divergences in the Linear-Time Temporal Logic formulation of the requirements specification</t>
  </si>
  <si>
    <t>Page 523, section 4.1</t>
  </si>
  <si>
    <t>represent LTL formulas as a vector of genes; each gene is a conjunct from the fCNF form</t>
  </si>
  <si>
    <t>use LTL formulas with a GA</t>
  </si>
  <si>
    <t xml:space="preserve">translate the formula to its definitional conjunctive normal form (dCNF) </t>
  </si>
  <si>
    <t>Page 526, section 5.2</t>
  </si>
  <si>
    <t>Model  + data</t>
  </si>
  <si>
    <t>Page 525, section 5.1</t>
  </si>
  <si>
    <t>measure execution time</t>
  </si>
  <si>
    <t>False Positive C G</t>
  </si>
  <si>
    <t>Page 3, Section 3.2</t>
  </si>
  <si>
    <t>Machine learning model (for code), source code</t>
  </si>
  <si>
    <t>Use delta debugging to minimize input while keeping prediction the same</t>
  </si>
  <si>
    <t>Identify minimal example for explanation of the model</t>
  </si>
  <si>
    <t>Page 4, Section 4.1.1</t>
  </si>
  <si>
    <t>Method bodies</t>
  </si>
  <si>
    <t>Modeling of method name prediction</t>
  </si>
  <si>
    <t>Page 4, Section 4.1.2</t>
  </si>
  <si>
    <t>Variable misuse data</t>
  </si>
  <si>
    <t>RNN (already trained)</t>
  </si>
  <si>
    <t>Modeling of variable misuse prediction</t>
  </si>
  <si>
    <t>Transformer (already trained)</t>
  </si>
  <si>
    <t>Page 5, Section 4.3</t>
  </si>
  <si>
    <t>Method names/bodies</t>
  </si>
  <si>
    <t>Random sampling of wrong predictions</t>
  </si>
  <si>
    <t>Create evaluation slice</t>
  </si>
  <si>
    <t>Random sampling of correct predictions</t>
  </si>
  <si>
    <t>Page 5, Section 4.4</t>
  </si>
  <si>
    <t>Original and reduced data</t>
  </si>
  <si>
    <t>Size reduction ratio</t>
  </si>
  <si>
    <t>Determine by how much the input could be reduced</t>
  </si>
  <si>
    <t>łpathsž in the method’s AST, that connect one terminal (token) to another,</t>
  </si>
  <si>
    <t>their model</t>
  </si>
  <si>
    <t>Page 682, section 3.2</t>
  </si>
  <si>
    <t>group and partition failing tests</t>
  </si>
  <si>
    <t>Page 685, section 5.1</t>
  </si>
  <si>
    <t>use F-measure</t>
  </si>
  <si>
    <t>Page 514, section 4.1</t>
  </si>
  <si>
    <t>http request and response pairs</t>
  </si>
  <si>
    <t>group http responses</t>
  </si>
  <si>
    <t>Page 3, Section 3.1.1</t>
  </si>
  <si>
    <t>Performance option space</t>
  </si>
  <si>
    <t>Random data point selection</t>
  </si>
  <si>
    <t>Select measurement locations for modeling</t>
  </si>
  <si>
    <t>Page 3, Section 3.1.2</t>
  </si>
  <si>
    <t>Adaptive equidistance breakdown</t>
  </si>
  <si>
    <t>Page 4, Section 3.1.3</t>
  </si>
  <si>
    <t>Adative random breakdown</t>
  </si>
  <si>
    <t>Page 5, Section 3.2.1</t>
  </si>
  <si>
    <t>Predictions</t>
  </si>
  <si>
    <t>Random validation set</t>
  </si>
  <si>
    <t>Performance estimation</t>
  </si>
  <si>
    <t>to predict performance</t>
  </si>
  <si>
    <t>Page 5, Section 3.2.2</t>
  </si>
  <si>
    <t>Dynamic sector validation</t>
  </si>
  <si>
    <t>Performance estimation for slices (sectors)</t>
  </si>
  <si>
    <t>Page 5, Section 4.1</t>
  </si>
  <si>
    <t>Performane measurements (training data)</t>
  </si>
  <si>
    <t>Modeling of performance</t>
  </si>
  <si>
    <t xml:space="preserve">Performane measurements </t>
  </si>
  <si>
    <t xml:space="preserve">Classification and Regression Trees (CART) </t>
  </si>
  <si>
    <t>Genetic programming</t>
  </si>
  <si>
    <t>Page 6, Section 4.4</t>
  </si>
  <si>
    <t>Krigin</t>
  </si>
  <si>
    <t>Measure used measurements points (MP)</t>
  </si>
  <si>
    <t>Measure size of the model to identify a simple model</t>
  </si>
  <si>
    <t xml:space="preserve">used measurement points (MP) </t>
  </si>
  <si>
    <t>Measure mean relative error (MRE)</t>
  </si>
  <si>
    <t>11, 25</t>
  </si>
  <si>
    <t>mean relative error (MRE)</t>
  </si>
  <si>
    <t>Measure highest error (HE)</t>
  </si>
  <si>
    <t xml:space="preserve">case study </t>
  </si>
  <si>
    <t>Measure predictions with error of less than 15% (LT15)</t>
  </si>
  <si>
    <t>Measure predictions with error of less than 30% (LT30)</t>
  </si>
  <si>
    <t xml:space="preserve">to keep only reliable features on PR time </t>
  </si>
  <si>
    <t>split 90%  10% in cross validation</t>
  </si>
  <si>
    <t>page: 1034, section: III</t>
  </si>
  <si>
    <t>time aware considerations (no future predicts past)</t>
  </si>
  <si>
    <t>to be applicable in a practical setting</t>
  </si>
  <si>
    <t>to infer the stochastic ordering of the distributions</t>
  </si>
  <si>
    <t>page: 1038, section: V</t>
  </si>
  <si>
    <t xml:space="preserve">use precision, recall and the corresponding F- score (i.e. equally weighted precision and recall) </t>
  </si>
  <si>
    <t>use of model performance metrics precision, recall, f-score</t>
  </si>
  <si>
    <t>to classify bug reports as valid or faulty</t>
  </si>
  <si>
    <t>train / test split for evaluation</t>
  </si>
  <si>
    <t xml:space="preserve">use from simple to a more complex model </t>
  </si>
  <si>
    <t>Page 2, Section 2.2</t>
  </si>
  <si>
    <t>Page 3, Section 2.2</t>
  </si>
  <si>
    <t>Page 3, Section 2.3</t>
  </si>
  <si>
    <t>Page 7, Section 3.3.2</t>
  </si>
  <si>
    <t>10x10 cross validation</t>
  </si>
  <si>
    <t>to predict relevant change set</t>
  </si>
  <si>
    <t>Measure precision</t>
  </si>
  <si>
    <t>Measure recall</t>
  </si>
  <si>
    <t>page 666, section 1</t>
  </si>
  <si>
    <t>use Naive Bayes, Decision Tree and Rule-Based models</t>
  </si>
  <si>
    <t>8, 16</t>
  </si>
  <si>
    <t>9, 16</t>
  </si>
  <si>
    <t>page 671, section 3.3.2</t>
  </si>
  <si>
    <t>to train the classifiers</t>
  </si>
  <si>
    <t>precision and recall average 10-fold cross-validation</t>
  </si>
  <si>
    <t>to evaluate models performance</t>
  </si>
  <si>
    <t>#</t>
  </si>
  <si>
    <t>B</t>
  </si>
  <si>
    <t>use neuron coverage (NC)</t>
  </si>
  <si>
    <t>Measure Neuron Coverage</t>
  </si>
  <si>
    <t>use adversarial attacks (Carlini-Wagner (CW) and Projected Gradient Descent (PGD))</t>
  </si>
  <si>
    <t>generate tests</t>
  </si>
  <si>
    <t>2,16</t>
  </si>
  <si>
    <t>Carlini-Wagner (CW) adversarial attack</t>
  </si>
  <si>
    <t>increase NC while leveraging the skeleton of existing adversarial attacks</t>
  </si>
  <si>
    <t xml:space="preserve">Projected Gradient Descent adversarial attack </t>
  </si>
  <si>
    <t>construct a test suite</t>
  </si>
  <si>
    <t>2,18,15</t>
  </si>
  <si>
    <t>use adversarial attacks (Carlini-Wagner (CW) and Projected Gradient Descent (PGD)) commonly found in the literature</t>
  </si>
  <si>
    <t>3,23</t>
  </si>
  <si>
    <t>use attack success rate (ASR)</t>
  </si>
  <si>
    <t>measure defect detection rate</t>
  </si>
  <si>
    <t>discretize continuous outputs into 25 equal-width intervals</t>
  </si>
  <si>
    <t>use the same metric for the regression driving models</t>
  </si>
  <si>
    <t>why is interchangeably a best practice?</t>
  </si>
  <si>
    <t>to evaluate defect detection in regression tasks</t>
  </si>
  <si>
    <t>randomly select 100 instances from each of 10 classes from the test set</t>
  </si>
  <si>
    <t>used to calculate a class-specific NC baseline</t>
  </si>
  <si>
    <t>to assess the skew of the output class distribution</t>
  </si>
  <si>
    <t>not found int he paper, maybe a different name for something in the paper</t>
  </si>
  <si>
    <t xml:space="preserve">Two datasets (CIFAR, UDACITY SELF DRIVIG CAR) </t>
  </si>
  <si>
    <t>Fréchet Inception Distance and Inception Score</t>
  </si>
  <si>
    <t>to be able to evaluate realism measurement and the relationship between Neuron coverage and naturalness.</t>
  </si>
  <si>
    <t>10</t>
  </si>
  <si>
    <t>Pei et al Neuron coverage, using treshold values  (t ∈ { 0, 0.2, 0.5, 0.75 }) in prior work</t>
  </si>
  <si>
    <t>to evaluate Neuron coverage</t>
  </si>
  <si>
    <t>Datasets</t>
  </si>
  <si>
    <t>two Adversarial Attack Algorithms based on the widespread usage in the ML literature</t>
  </si>
  <si>
    <t>Test generation</t>
  </si>
  <si>
    <t xml:space="preserve">Carlini-Wagner (CW) adversarial attack </t>
  </si>
  <si>
    <t>maybe the same as 2,16?</t>
  </si>
  <si>
    <t>substitute the standard CW loss function for a custom loss  (Meng et al. [41])</t>
  </si>
  <si>
    <t>Explore its possible effects on Neurin coverage</t>
  </si>
  <si>
    <t>personalized function that penalize  skewed layer-wise activations</t>
  </si>
  <si>
    <t>to implement the divergence function in their personalized penalizationn function</t>
  </si>
  <si>
    <t xml:space="preserve">to discount them in subsequent analysis </t>
  </si>
  <si>
    <t>Carlini-Wagner method</t>
  </si>
  <si>
    <t>to promote more diverse neural activation distributions and increase NC</t>
  </si>
  <si>
    <t>use standardized delineation of correlative significance laid out by Ratner (for all the results)</t>
  </si>
  <si>
    <t>to characterize values between 0 and ±0.3 as weak, ±0.3 to ±0.7 as moderate, and ±0.7 to ±1.0 as strong.</t>
  </si>
  <si>
    <t>use p value &gt; 0.05</t>
  </si>
  <si>
    <t>page 855, section 4.1</t>
  </si>
  <si>
    <t>use  attack success rate (ASR) and defect detection rate (DDR)  interchangeably.</t>
  </si>
  <si>
    <t>B,G</t>
  </si>
  <si>
    <t>No SE Task</t>
  </si>
  <si>
    <t>use Fast-and-Frugal Trees (FFT)</t>
  </si>
  <si>
    <t>classifier</t>
  </si>
  <si>
    <t>ensure that training data and test are different</t>
  </si>
  <si>
    <t>compare with Simple Logistic (SL), Naive Bayes (NB), Expectation Maximization (EM), Sequential Minimal Optimization (SMO)</t>
  </si>
  <si>
    <t>baseline</t>
  </si>
  <si>
    <t>use dis2heaven and P_opt metrics</t>
  </si>
  <si>
    <t>split data into training and testing based on release</t>
  </si>
  <si>
    <t>page 460, section 3.3</t>
  </si>
  <si>
    <t>randomly select baselines models based on randomly state-of-the-art  (Simple Logistic (SL), Naive Bayes (NB), Expectation Maximization (EM), Sequential Minimal Optimization (SMO).)</t>
  </si>
  <si>
    <t>model + training + test data</t>
  </si>
  <si>
    <t>Recall, false positive rate, distance to heavem (sqr (((1-recall)^2 +FAR^2)/2)</t>
  </si>
  <si>
    <t>is this really a best practice?</t>
  </si>
  <si>
    <t>measurements</t>
  </si>
  <si>
    <t>use stratification split for splitting  the data  into test and training sets.</t>
  </si>
  <si>
    <t>7</t>
  </si>
  <si>
    <t>this is not mentioned in the section, to some extend this is mentioned later in the document in section 5.1 page409</t>
  </si>
  <si>
    <t>ID</t>
  </si>
  <si>
    <t xml:space="preserve"> Make noisy data</t>
  </si>
  <si>
    <t>Dummy predictor</t>
  </si>
  <si>
    <t>Measure predictions against random regressor</t>
  </si>
  <si>
    <t>F-measure</t>
  </si>
  <si>
    <t>assumed golden data set instanes</t>
  </si>
  <si>
    <t>10-fold CV, label switching after this</t>
  </si>
  <si>
    <t>138- IV</t>
  </si>
  <si>
    <t>Decrease the size of the vocabulary to decrease the memory needed</t>
  </si>
  <si>
    <t>Sequence length filtering</t>
  </si>
  <si>
    <t>Limitting the sequence lenght for training</t>
  </si>
  <si>
    <t>Data splitting</t>
  </si>
  <si>
    <t>LSTM - Nematus</t>
  </si>
  <si>
    <t>Use proven architecture</t>
  </si>
  <si>
    <t>140-V</t>
  </si>
  <si>
    <t>BLEU</t>
  </si>
  <si>
    <t>remove issue and commit ids</t>
  </si>
  <si>
    <t>those are unique ids; increase vocabularies; it cause large memory use of NMT</t>
  </si>
  <si>
    <t>tokenize</t>
  </si>
  <si>
    <t xml:space="preserve"> 139,  IV.A.1</t>
  </si>
  <si>
    <t xml:space="preserve"> 139,  IV.A.2</t>
  </si>
  <si>
    <t>set max sequence lengths for NMT source and target sequences</t>
  </si>
  <si>
    <t xml:space="preserve"> 139,  IV.A.3</t>
  </si>
  <si>
    <t xml:space="preserve"> 139,  IV.A.4</t>
  </si>
  <si>
    <t>train/validation/test sets</t>
  </si>
  <si>
    <t xml:space="preserve"> 139,  IV.B</t>
  </si>
  <si>
    <t>use NMT</t>
  </si>
  <si>
    <t xml:space="preserve"> 139,  IV.B.2</t>
  </si>
  <si>
    <t>Issue tracker data, commits</t>
  </si>
  <si>
    <t>Commit issue tagging</t>
  </si>
  <si>
    <t>840-4</t>
  </si>
  <si>
    <t>Decision tree, J48</t>
  </si>
  <si>
    <t>Random Forest</t>
  </si>
  <si>
    <t>842-5</t>
  </si>
  <si>
    <t>TP</t>
  </si>
  <si>
    <t>TN</t>
  </si>
  <si>
    <t>FP</t>
  </si>
  <si>
    <t>FN</t>
  </si>
  <si>
    <t>False positive</t>
  </si>
  <si>
    <t>check manual classification agreement</t>
  </si>
  <si>
    <t xml:space="preserve">Produce surrogate model \hat{M} </t>
  </si>
  <si>
    <t>Efficiency</t>
  </si>
  <si>
    <t>377, Table 2</t>
  </si>
  <si>
    <t>Model structure and model type are well defined (continuous/discrete + equation)</t>
  </si>
  <si>
    <t>Missing issue information detection</t>
  </si>
  <si>
    <t>Sampling</t>
  </si>
  <si>
    <t>401-3.3</t>
  </si>
  <si>
    <t>Issue comments</t>
  </si>
  <si>
    <t>POS tags</t>
  </si>
  <si>
    <t>n-grams</t>
  </si>
  <si>
    <t>Support vector machine</t>
  </si>
  <si>
    <t xml:space="preserve">use stemming </t>
  </si>
  <si>
    <t>Average precision</t>
  </si>
  <si>
    <t>Average recall</t>
  </si>
  <si>
    <t>use stemming and stop-word removal</t>
  </si>
  <si>
    <t>bug reports</t>
  </si>
  <si>
    <t>70%, 20%, and 10% of the dataset for training, parameter tuning, and testing</t>
  </si>
  <si>
    <t>Github repository</t>
  </si>
  <si>
    <t>258-4</t>
  </si>
  <si>
    <t>Structural Expectation Maximization</t>
  </si>
  <si>
    <t>train test datasets</t>
  </si>
  <si>
    <t>Precision/recall curves</t>
  </si>
  <si>
    <t>260, 4.5</t>
  </si>
  <si>
    <t>api patterns</t>
  </si>
  <si>
    <t>EM algorithm</t>
  </si>
  <si>
    <t>api pattern candidate generation</t>
  </si>
  <si>
    <t>261, 5</t>
  </si>
  <si>
    <t>public source code from github</t>
  </si>
  <si>
    <t>collect public data</t>
  </si>
  <si>
    <t>evaluate modle on public data</t>
  </si>
  <si>
    <t>50/50 train and test split</t>
  </si>
  <si>
    <t>train and test the model on different data</t>
  </si>
  <si>
    <t>476-3</t>
  </si>
  <si>
    <t>Transformer with multi-attention head</t>
  </si>
  <si>
    <t>Use state of the art neural network architecture</t>
  </si>
  <si>
    <t>477-3</t>
  </si>
  <si>
    <t>Masked bidirectional Language Modeling</t>
  </si>
  <si>
    <t>First task in the training process</t>
  </si>
  <si>
    <t>Next Code segment Predicting</t>
  </si>
  <si>
    <t>Second task in the training process</t>
  </si>
  <si>
    <t>Unidirectionall Language Modeling</t>
  </si>
  <si>
    <t>Third task in the training process</t>
  </si>
  <si>
    <t>2 and 13</t>
  </si>
  <si>
    <t>478-4</t>
  </si>
  <si>
    <t>Program Code</t>
  </si>
  <si>
    <t>Create token sequences</t>
  </si>
  <si>
    <t>479-4</t>
  </si>
  <si>
    <t>Vocabulary is too large</t>
  </si>
  <si>
    <t>Use pre-trained model for classification</t>
  </si>
  <si>
    <t>Cross entropy loss</t>
  </si>
  <si>
    <t>476, Section 3.1</t>
  </si>
  <si>
    <t>Use transformer architecture for code modelling</t>
  </si>
  <si>
    <t>478, 4</t>
  </si>
  <si>
    <t>476, Section 3.2</t>
  </si>
  <si>
    <t>477, Section 3.3</t>
  </si>
  <si>
    <t>Report model details (hyper parameter, architecture)</t>
  </si>
  <si>
    <t>478, Section 3.4</t>
  </si>
  <si>
    <t>478, Section 4.1</t>
  </si>
  <si>
    <t>479, 4</t>
  </si>
  <si>
    <t>Split into pre-training and fine-tuning data</t>
  </si>
  <si>
    <t>Perform ablation study</t>
  </si>
  <si>
    <t>479, Section 4.2</t>
  </si>
  <si>
    <t>479, Section 4.3</t>
  </si>
  <si>
    <t>480, Section 4.3</t>
  </si>
  <si>
    <t>Encoder-Decoder attention RNN</t>
  </si>
  <si>
    <t>Pointer generator</t>
  </si>
  <si>
    <t>179, III</t>
  </si>
  <si>
    <t>ROUGE</t>
  </si>
  <si>
    <t>SCST algorithm</t>
  </si>
  <si>
    <t>180, IV</t>
  </si>
  <si>
    <t>PR,commits and code comments collection</t>
  </si>
  <si>
    <t>PR comments</t>
  </si>
  <si>
    <t>Regular expressions</t>
  </si>
  <si>
    <t>Target and source sequence generation</t>
  </si>
  <si>
    <t>182, V</t>
  </si>
  <si>
    <t>179, 3.1</t>
  </si>
  <si>
    <t>select a token from the ﬁxed vocabulary or copy one from the source sequence at each decoding step</t>
  </si>
  <si>
    <t>address out-of-vocabulary issue of attentional encoder-decoder model</t>
  </si>
  <si>
    <t>uses self-critical sequence training (SCST) and a special loss function named RL loss</t>
  </si>
  <si>
    <t>use maximum-likelihood (ML) loss first12,000 iterations then hybrid loss  for another 28,000 iterations</t>
  </si>
  <si>
    <t>180, 4.1</t>
  </si>
  <si>
    <t>Java repositories</t>
  </si>
  <si>
    <t>use RepoReapers framework</t>
  </si>
  <si>
    <t>select engineered software projects</t>
  </si>
  <si>
    <t>use adam</t>
  </si>
  <si>
    <t>400, III</t>
  </si>
  <si>
    <t>Clone group detection</t>
  </si>
  <si>
    <t>Detect clones in programs using DECKARD</t>
  </si>
  <si>
    <t>Clone groups</t>
  </si>
  <si>
    <t>Clone ancestor group as features</t>
  </si>
  <si>
    <t>402, V</t>
  </si>
  <si>
    <t>Information gain</t>
  </si>
  <si>
    <t>Evaluate the usefullness of a feature</t>
  </si>
  <si>
    <t>preprocessed datasets</t>
  </si>
  <si>
    <t>Dataset rebalacing</t>
  </si>
  <si>
    <t>nearest neighbor with non-nested generalization</t>
  </si>
  <si>
    <t xml:space="preserve">construct a parse tree and extract ﬁve sets of features the parse tree </t>
  </si>
  <si>
    <t>extract features which can be easily adopted to code written in different programming languages</t>
  </si>
  <si>
    <t>404, VI</t>
  </si>
  <si>
    <t>APPF (Average percentage of ture positives found)</t>
  </si>
  <si>
    <t>app under test</t>
  </si>
  <si>
    <t>State Vector (SV) - consists of entries representing the lifecycle state of app under test and the state of major energy-greedy hardware elements</t>
  </si>
  <si>
    <t>capture the state during the execution of a test</t>
  </si>
  <si>
    <t>930, 5.2</t>
  </si>
  <si>
    <t>Long Short-Term Memory (LSTM)</t>
  </si>
  <si>
    <t>to construct oracles for energy defects in Android</t>
  </si>
  <si>
    <t>Use system calls to collect energy-related data</t>
  </si>
  <si>
    <t>Provide details regarding data collection</t>
  </si>
  <si>
    <t>curate a large dataset</t>
  </si>
  <si>
    <t>Attention Analysis</t>
  </si>
  <si>
    <t>determine the features that impact its decision and verify they are relevant</t>
  </si>
  <si>
    <t>DL model</t>
  </si>
  <si>
    <t>better loss function for classification problems than cross-entropy due to imbalanced data</t>
  </si>
  <si>
    <t>Model the relation of features to defects</t>
  </si>
  <si>
    <t>Understand the model to avoid information leaks</t>
  </si>
  <si>
    <t>935, 7.4</t>
  </si>
  <si>
    <t>Unseen Recall</t>
  </si>
  <si>
    <t>evaluate the effectiveness of model to detect previously unseen energy defect types</t>
  </si>
  <si>
    <t>Describe features as bit vector</t>
  </si>
  <si>
    <t>930, 5.1</t>
  </si>
  <si>
    <t>Features</t>
  </si>
  <si>
    <t>LSTM as classification model</t>
  </si>
  <si>
    <t>Model energy defects</t>
  </si>
  <si>
    <t>931, 5.3</t>
  </si>
  <si>
    <t>Mutation testing to generate labeled data</t>
  </si>
  <si>
    <t>Generate data with energy defects</t>
  </si>
  <si>
    <t>use Recall</t>
  </si>
  <si>
    <t>Explain model behavior through attention</t>
  </si>
  <si>
    <t>Use weighted cross-entropy loss</t>
  </si>
  <si>
    <t>Model classifcation loss</t>
  </si>
  <si>
    <t>use continuous skip-gram model</t>
  </si>
  <si>
    <t>learn domain-speciﬁc word embeddings</t>
  </si>
  <si>
    <t>knowledge-unit vector</t>
  </si>
  <si>
    <t>convolutional neural network</t>
  </si>
  <si>
    <t>predict semantic relatedness between knowledge units</t>
  </si>
  <si>
    <t>multiclass SVM classiﬁer with TF and IDF</t>
  </si>
  <si>
    <t>Baseline feature model</t>
  </si>
  <si>
    <t>Use pre-trained embedding</t>
  </si>
  <si>
    <t>Use Support Vector Machine</t>
  </si>
  <si>
    <t>Word embeddings</t>
  </si>
  <si>
    <t>Model, Test data</t>
  </si>
  <si>
    <t>Measure accuracy</t>
  </si>
  <si>
    <t>Measure F-measure</t>
  </si>
  <si>
    <t>Page 721, Section 4.3</t>
  </si>
  <si>
    <t>Page 719, Section 4</t>
  </si>
  <si>
    <t>Page 721, Section 5.1</t>
  </si>
  <si>
    <t>Page 722, Section 5.1</t>
  </si>
  <si>
    <t>Page 722, Section 5.1.2</t>
  </si>
  <si>
    <t>654, 4</t>
  </si>
  <si>
    <t>datasets</t>
  </si>
  <si>
    <t>employ random forest learners</t>
  </si>
  <si>
    <t>predict the counterfactual program outcomes</t>
  </si>
  <si>
    <t>1 and 4</t>
  </si>
  <si>
    <t>employ random forest learners (ranger packet)</t>
  </si>
  <si>
    <t>654, 5.1</t>
  </si>
  <si>
    <t>compare with Elastic Predicates (ESP) and NUMFL</t>
  </si>
  <si>
    <t>655, 5.1</t>
  </si>
  <si>
    <t>EXAM score measure and Hit@N measure</t>
  </si>
  <si>
    <t>report the cost of fault localization for each technique.</t>
  </si>
  <si>
    <t>5 and 3</t>
  </si>
  <si>
    <t>model, test data</t>
  </si>
  <si>
    <t>EXAM and Hit@N( measure Recall@N / Top-N ) metrics</t>
  </si>
  <si>
    <t>variable assignments</t>
  </si>
  <si>
    <t>random forest (ranger packet)</t>
  </si>
  <si>
    <t>learn the variable assignments</t>
  </si>
  <si>
    <t>654, 5</t>
  </si>
  <si>
    <t>use popular data set / Defects4J</t>
  </si>
  <si>
    <t>655, 5</t>
  </si>
  <si>
    <t>measure Recall@N / Top-N / Hit@N</t>
  </si>
  <si>
    <t>26,2.1</t>
  </si>
  <si>
    <t>Gerrit repo</t>
  </si>
  <si>
    <t>built a Gerrit crawler</t>
  </si>
  <si>
    <t>collect the PR data</t>
  </si>
  <si>
    <t>Code transformations</t>
  </si>
  <si>
    <t xml:space="preserve">to collect pull request data </t>
  </si>
  <si>
    <t>26,2.2</t>
  </si>
  <si>
    <t>code files</t>
  </si>
  <si>
    <t>use GumTreeDiff to establish the ﬁle-to-ﬁle and method-to-method mapping</t>
  </si>
  <si>
    <t xml:space="preserve">extract code on method-level of the pull request </t>
  </si>
  <si>
    <t>27,2.3</t>
  </si>
  <si>
    <t>keep top-300 frequent identifiers and literals in vocabulary and replace identiﬁers and literals with reusable IDs</t>
  </si>
  <si>
    <t>28,2.4</t>
  </si>
  <si>
    <t>29, 3.2</t>
  </si>
  <si>
    <t>27,2c</t>
  </si>
  <si>
    <t>NLP preprocessing, most frequent identifiers</t>
  </si>
  <si>
    <t>remove overrepresentation of some key words in the programming language</t>
  </si>
  <si>
    <t>28,2d</t>
  </si>
  <si>
    <t xml:space="preserve">abstracted code </t>
  </si>
  <si>
    <t>train NMT models; RNN Encode-Decoder</t>
  </si>
  <si>
    <t>tasks</t>
  </si>
  <si>
    <t>extract a list of meta information from tasks</t>
  </si>
  <si>
    <t>construct local features</t>
  </si>
  <si>
    <t>construct relational features</t>
  </si>
  <si>
    <t>356, 4</t>
  </si>
  <si>
    <t>tasks (collected data from software project tasks)</t>
  </si>
  <si>
    <t>357, 5.1</t>
  </si>
  <si>
    <t>local features of tasks</t>
  </si>
  <si>
    <t>develop local classiﬁers</t>
  </si>
  <si>
    <t>construct the dataset</t>
  </si>
  <si>
    <t>create a network structure</t>
  </si>
  <si>
    <t>reflect the dependencies of tasks</t>
  </si>
  <si>
    <t>local classifier that treats nodes /tasks independently</t>
  </si>
  <si>
    <t>358, 6a</t>
  </si>
  <si>
    <t>155, 3</t>
  </si>
  <si>
    <t>code sequence</t>
  </si>
  <si>
    <t>SeqRNN (feed source souce tokens as input into transformer)</t>
  </si>
  <si>
    <t>155, III</t>
  </si>
  <si>
    <t>tokenization via AST parsing</t>
  </si>
  <si>
    <t>PathTrans (feed root-paths into LSTM with the embedding of the leaf node then to transformer)</t>
  </si>
  <si>
    <t>TravTrans (feed AST nodes as a sequence in pre-order traversal into transformer)</t>
  </si>
  <si>
    <t>156 3</t>
  </si>
  <si>
    <t>TravTrans+ (enhance the self attention block of the Transformer with a matrix R that captures the (unique) path needed to reach from a to b</t>
  </si>
  <si>
    <t>capturing richer path-based relations</t>
  </si>
  <si>
    <t>156 4.2</t>
  </si>
  <si>
    <t>randomly intialize parameters and use Adam optimizer</t>
  </si>
  <si>
    <t>156 III</t>
  </si>
  <si>
    <t>157 4.3</t>
  </si>
  <si>
    <t>use mean reciprocal rank (MRR).</t>
  </si>
  <si>
    <t>measure performance on code prediction task</t>
  </si>
  <si>
    <t>156, IV a</t>
  </si>
  <si>
    <t>used benchmark data (py150)</t>
  </si>
  <si>
    <t>158 5</t>
  </si>
  <si>
    <t>compare with Deep3 and Code2Seq</t>
  </si>
  <si>
    <t>measure performance against state-of-the-art</t>
  </si>
  <si>
    <t>156 IV.b</t>
  </si>
  <si>
    <t>156, IV b</t>
  </si>
  <si>
    <t>justified restriction of vocabulary size and path size (covers 90% of the data)</t>
  </si>
  <si>
    <t>6 and 1</t>
  </si>
  <si>
    <t>157 IV.c</t>
  </si>
  <si>
    <t>158 V</t>
  </si>
  <si>
    <t>compared against state-of-the-art (Deep3 and Code2Seq)</t>
  </si>
  <si>
    <t>156, IV c</t>
  </si>
  <si>
    <t>commonly used evaluation modell (MRR)</t>
  </si>
  <si>
    <t>to measure performance</t>
  </si>
  <si>
    <t>158, VI</t>
  </si>
  <si>
    <t>performed model inspection to try to find why it works as well as it does (interpretability of a transfomers based model)</t>
  </si>
  <si>
    <t>find what the model has learned</t>
  </si>
  <si>
    <t>157, V</t>
  </si>
  <si>
    <t>compared against state-of-the-art</t>
  </si>
  <si>
    <t>1206, 3.2.3</t>
  </si>
  <si>
    <t>initialize their parameters using the corresponding pretrained models and and use Adam optimizer</t>
  </si>
  <si>
    <t xml:space="preserve">initialize their parameters using the corresponding pretrained models </t>
  </si>
  <si>
    <t>model output, dataset</t>
  </si>
  <si>
    <t>use precision, recall and F1-score</t>
  </si>
  <si>
    <t>measure the performance of region detection</t>
  </si>
  <si>
    <t xml:space="preserve">use validation set </t>
  </si>
  <si>
    <t>split dataset into training/validation/test</t>
  </si>
  <si>
    <t>adam optimizer</t>
  </si>
  <si>
    <t>initialize model parameters by using pretrained models</t>
  </si>
  <si>
    <t>to distinguish components from background</t>
  </si>
  <si>
    <t>952  3.1</t>
  </si>
  <si>
    <t>952  3.2</t>
  </si>
  <si>
    <t>954  5.1</t>
  </si>
  <si>
    <t>50 experiments with randomly selected 90% of data as training data, 10% as test data</t>
  </si>
  <si>
    <t>ensure that ARIMA could provide sustainable time-series forecasting predictions</t>
  </si>
  <si>
    <t>954,  V.A</t>
  </si>
  <si>
    <t>use RMSE and MAE</t>
  </si>
  <si>
    <t>Test self-adaptive systems</t>
  </si>
  <si>
    <t>use ARIMA</t>
  </si>
  <si>
    <t>forecast tactic behavior</t>
  </si>
  <si>
    <t>optimize ARIME model parameters</t>
  </si>
  <si>
    <t>952,  III.B</t>
  </si>
  <si>
    <t>use multiple regression analysis</t>
  </si>
  <si>
    <t>predict tactic latency and cost</t>
  </si>
  <si>
    <t>Compare RMSE and MAE values, using scatter plots</t>
  </si>
  <si>
    <t>701 2.1</t>
  </si>
  <si>
    <t>code, bug reports</t>
  </si>
  <si>
    <t>extract existence feature: whether certain types of elements exist in the target program</t>
  </si>
  <si>
    <t>extract usage feature: how the elements in a program are used</t>
  </si>
  <si>
    <t>702 2.1</t>
  </si>
  <si>
    <t>remove features whose information gain ratios are zero</t>
  </si>
  <si>
    <t>ﬁlter out the useless features</t>
  </si>
  <si>
    <t xml:space="preserve">normalize value of features into the interval [0, 1] </t>
  </si>
  <si>
    <t>use min-max normalization</t>
  </si>
  <si>
    <t>Sequential Minimal Optimization (SMO)</t>
  </si>
  <si>
    <t>build the capability model</t>
  </si>
  <si>
    <t>Support Vector Machine (Linear?)</t>
  </si>
  <si>
    <t>Model if code triggers bugs</t>
  </si>
  <si>
    <t>703 2.1</t>
  </si>
  <si>
    <t>test programs,execution time and features</t>
  </si>
  <si>
    <t>train a time model</t>
  </si>
  <si>
    <t>C programs randomly generated by CSmith</t>
  </si>
  <si>
    <t>use in both learning and scheduling processes</t>
  </si>
  <si>
    <t>702, II.B</t>
  </si>
  <si>
    <t>Ranking of tests based on unit time of predicted bugs</t>
  </si>
  <si>
    <t>Create input data for approach (use in both learning and scheduling processes)</t>
  </si>
  <si>
    <t>704 3.3</t>
  </si>
  <si>
    <t>compare with random order approach</t>
  </si>
  <si>
    <t>704 3.4</t>
  </si>
  <si>
    <t>compare with variants of models based on different indepent variables</t>
  </si>
  <si>
    <t>9 and 19</t>
  </si>
  <si>
    <t>704, III.C</t>
  </si>
  <si>
    <t>Random baseline</t>
  </si>
  <si>
    <t>calculate the corresponding speedup on detecting k bugs</t>
  </si>
  <si>
    <t>10 and 20</t>
  </si>
  <si>
    <t>compare with variants State of the art baselines (of models based on different indepent variables)</t>
  </si>
  <si>
    <t>704 3.6</t>
  </si>
  <si>
    <t>run random order model 10 times</t>
  </si>
  <si>
    <t>reduce the inﬂuence of random selection</t>
  </si>
  <si>
    <t>Identify different candidates for suitable features</t>
  </si>
  <si>
    <t>Information gain feature selection</t>
  </si>
  <si>
    <t>Remove irrelevant features</t>
  </si>
  <si>
    <t>State of the art baselines</t>
  </si>
  <si>
    <t>704, III.E</t>
  </si>
  <si>
    <t>Multiple rankings</t>
  </si>
  <si>
    <t>Measure Speedup</t>
  </si>
  <si>
    <t>Randomized data generation</t>
  </si>
  <si>
    <t>Create input data for approach</t>
  </si>
  <si>
    <t>default values in libraries used and yield good results</t>
  </si>
  <si>
    <t>Measure F-Measure</t>
  </si>
  <si>
    <t>Measure Recall</t>
  </si>
  <si>
    <t>Measure Precision</t>
  </si>
  <si>
    <t>Performance Regression Detection</t>
  </si>
  <si>
    <t>common model performance metrics precision, recall fscore</t>
  </si>
  <si>
    <t>Description of collected and excluded data from issue tracker</t>
  </si>
  <si>
    <t>366,  2.3</t>
  </si>
  <si>
    <t>Derivation of hypothesis about data</t>
  </si>
  <si>
    <t>Motivation for the model</t>
  </si>
  <si>
    <t>Description of the used model</t>
  </si>
  <si>
    <t>369,  3.3</t>
  </si>
  <si>
    <t>Description of ranking procedure</t>
  </si>
  <si>
    <t>Current model, new data</t>
  </si>
  <si>
    <t>Avoiding concept drift and keeping model up to date</t>
  </si>
  <si>
    <t>372,  5.5</t>
  </si>
  <si>
    <t>370, 5.1</t>
  </si>
  <si>
    <t>time aware 10-fold CV</t>
  </si>
  <si>
    <t>follow previous practice</t>
  </si>
  <si>
    <t>compare to state-of-the-art</t>
  </si>
  <si>
    <t>Describe label collection</t>
  </si>
  <si>
    <t xml:space="preserve">Bag of Words </t>
  </si>
  <si>
    <t>Measure MCC</t>
  </si>
  <si>
    <t>Measure resolution effort ratio</t>
  </si>
  <si>
    <t>Measure model performance accounting for costs</t>
  </si>
  <si>
    <t xml:space="preserve">Synthetic Minority Over-sampling Technique </t>
  </si>
  <si>
    <t xml:space="preserve">data is imbalanced </t>
  </si>
  <si>
    <t>Matthews Correlation Coefficient</t>
  </si>
  <si>
    <t>AdaBoost</t>
  </si>
  <si>
    <t>J48</t>
  </si>
  <si>
    <t>K-Nearst Neighbourhood</t>
  </si>
  <si>
    <t>Logistic Regression</t>
  </si>
  <si>
    <t xml:space="preserve">Dense Neural Network </t>
  </si>
  <si>
    <t>Use multilayer perceptron (Dense Network, MLP)</t>
  </si>
  <si>
    <t>Use suitable model for the use case</t>
  </si>
  <si>
    <t>Measure top-k accuracy, k=1, 3, 5</t>
  </si>
  <si>
    <t>Bug fixing/patching</t>
  </si>
  <si>
    <t>335, 6</t>
  </si>
  <si>
    <t>baseline, model</t>
  </si>
  <si>
    <t xml:space="preserve">baseline comparision </t>
  </si>
  <si>
    <t>332, 4</t>
  </si>
  <si>
    <t xml:space="preserve">measure accuracy </t>
  </si>
  <si>
    <t>Impact of variance</t>
  </si>
  <si>
    <t>Measure per-class accuracy</t>
  </si>
  <si>
    <t>Significance of stability of results</t>
  </si>
  <si>
    <t>Magnitude of performance differences</t>
  </si>
  <si>
    <t>775, 3</t>
  </si>
  <si>
    <t>statistical test for comparison of variance and median of two populations (levene and mann-whitney-u)</t>
  </si>
  <si>
    <t>levene not as checking variance not as prerequesite test</t>
  </si>
  <si>
    <t>775, 3.1</t>
  </si>
  <si>
    <t>use both best loss and best accuracy</t>
  </si>
  <si>
    <t>common criteria in the literature</t>
  </si>
  <si>
    <t>775, 3.4</t>
  </si>
  <si>
    <t>use effect size (cohens d)</t>
  </si>
  <si>
    <t>to check for meaningfull effects</t>
  </si>
  <si>
    <t>Use Skillings-Mack test</t>
  </si>
  <si>
    <t>Use Mann-Whitney-U-test</t>
  </si>
  <si>
    <t>Identify need for retraining</t>
  </si>
  <si>
    <t>robust to non-normality and heteroscedasticity</t>
  </si>
  <si>
    <t>comparing 4 sets of unequal number of algorithms with appropriate Skillings-Mack test (adaption of Friedman)</t>
  </si>
  <si>
    <t>chosen because of 4 unequal sets of algorithms</t>
  </si>
  <si>
    <t>7, 5.1.3</t>
  </si>
  <si>
    <t>compare 2 populations with Mann-Whitney-Wilcoxon</t>
  </si>
  <si>
    <t>test suited for comparing two-levels case</t>
  </si>
  <si>
    <t>Use custom oversampling</t>
  </si>
  <si>
    <t>Adopt oversampling to use case</t>
  </si>
  <si>
    <t>Use oversampling online bagging as baseline</t>
  </si>
  <si>
    <t>3 and 13</t>
  </si>
  <si>
    <t>Use undersampling online bagging as baseline</t>
  </si>
  <si>
    <t>4 and 13</t>
  </si>
  <si>
    <t>use state-of-the-art approaches (Use undersampling online bagging as baseline)</t>
  </si>
  <si>
    <t>Measure G-mean</t>
  </si>
  <si>
    <t>670, IV.B</t>
  </si>
  <si>
    <t>training data</t>
  </si>
  <si>
    <t>resample (online) training data based on positive/negative instances frequency</t>
  </si>
  <si>
    <t>tackle verification latency and avoid unbalanced class evolution</t>
  </si>
  <si>
    <t>resample (online) training data based on boosting factors</t>
  </si>
  <si>
    <t>use recall and g-mean metrics</t>
  </si>
  <si>
    <t>use scott-knott procedure</t>
  </si>
  <si>
    <t>to separate approaches into non-overlapping groups</t>
  </si>
  <si>
    <t>Deep learning testing</t>
  </si>
  <si>
    <t>Report results over several independent rules</t>
  </si>
  <si>
    <t>based on interviews at microsoft</t>
  </si>
  <si>
    <t>defined study subject selection criteria</t>
  </si>
  <si>
    <t>followed guidelines previously defined</t>
  </si>
  <si>
    <t xml:space="preserve">significance of a term </t>
  </si>
  <si>
    <t>precision, recall, fscore</t>
  </si>
  <si>
    <t>classified instances</t>
  </si>
  <si>
    <t>comparison with state-of-the-art</t>
  </si>
  <si>
    <t>521, 3</t>
  </si>
  <si>
    <t>0, 1 encoding</t>
  </si>
  <si>
    <t>525, 5</t>
  </si>
  <si>
    <t>model, train and test data</t>
  </si>
  <si>
    <t>Leave-one-out Cross validation, 2-fold, 3-fold</t>
  </si>
  <si>
    <t>compare against state of the art</t>
  </si>
  <si>
    <t>527, 5</t>
  </si>
  <si>
    <t>feature importance analysis</t>
  </si>
  <si>
    <t>524, V a</t>
  </si>
  <si>
    <t>used benchmark data</t>
  </si>
  <si>
    <t>526, V c</t>
  </si>
  <si>
    <t>data set</t>
  </si>
  <si>
    <t>association rule learning</t>
  </si>
  <si>
    <t>find patterns in the failure tests</t>
  </si>
  <si>
    <t xml:space="preserve">calculate support and confidence </t>
  </si>
  <si>
    <t xml:space="preserve">true positiv, true negativ, false positiv, false negative </t>
  </si>
  <si>
    <t>44, VI</t>
  </si>
  <si>
    <t>use confidence (min 0.8 confidence)</t>
  </si>
  <si>
    <t>min support value: median number of occurrences per test case in the overall set of test failure observations and multiplied by 10</t>
  </si>
  <si>
    <t>first two authors manually labeled random sample to severe or trivial difficulty</t>
  </si>
  <si>
    <t>use cohens kappa as validation that two authors resolutions are comparable (first 60 then comparison then each author labels the rest of the 600)</t>
  </si>
  <si>
    <t>check manual tagging agreement</t>
  </si>
  <si>
    <t>used multiple ML algorithms (SVM, Log. Regr., MLP, Bayes Net)</t>
  </si>
  <si>
    <t>used 10-fold CV</t>
  </si>
  <si>
    <t>common modle performance measures: precision, recall</t>
  </si>
  <si>
    <t>confusion matrix and thresholds</t>
  </si>
  <si>
    <t>AUC</t>
  </si>
  <si>
    <t>better then accuracy because it is not biased by the size of test data and provides a broader view of the perofrmance of the classifier</t>
  </si>
  <si>
    <t>model selection</t>
  </si>
  <si>
    <t>validate a sample of conflicts before finishing tagging</t>
  </si>
  <si>
    <t>use AUC</t>
  </si>
  <si>
    <t>assess model performance (AUC is not biased by the size of data)</t>
  </si>
  <si>
    <t>software metrics</t>
  </si>
  <si>
    <t>use Variance Inflation factor</t>
  </si>
  <si>
    <t>to check metrics colinearity (Feature selection)</t>
  </si>
  <si>
    <t>justify the usage of specific performance metrics</t>
  </si>
  <si>
    <t>Use different classifiers, i.e., that have different assumptions</t>
  </si>
  <si>
    <t>to reduce the risk of dependence on a particular algorithm or implementation</t>
  </si>
  <si>
    <t>269, V a</t>
  </si>
  <si>
    <t>269, V b</t>
  </si>
  <si>
    <t>text input</t>
  </si>
  <si>
    <t>remove stop words, stemming, tf-idf</t>
  </si>
  <si>
    <t>remove common words from the input</t>
  </si>
  <si>
    <t>269, V c</t>
  </si>
  <si>
    <t>270, V d</t>
  </si>
  <si>
    <t>270, V e</t>
  </si>
  <si>
    <t>find traceability links between bug reports and source code</t>
  </si>
  <si>
    <t>normalization</t>
  </si>
  <si>
    <t>identifiers were split into words</t>
  </si>
  <si>
    <t>to create feature vectors</t>
  </si>
  <si>
    <t>Prediction accuracy is measured by the ratio of the number of hits over the total number of prediction cases in a test set</t>
  </si>
  <si>
    <t>longitudinal setup (past data is used to predict more recent data)</t>
  </si>
  <si>
    <t>Data was split in 10 folds: folds x_1,..x_i were used for training and fold x_{i+1} for testing, several rounds starting with x_1 for training, and x_2 testing</t>
  </si>
  <si>
    <t>assess performance (realistic simulation of real-world usage )</t>
  </si>
  <si>
    <t>page 299, section 3.1</t>
  </si>
  <si>
    <t>extract syntactic information from source code</t>
  </si>
  <si>
    <t xml:space="preserve">to automatically learn semantic features </t>
  </si>
  <si>
    <t>page 300, section 3.2.1</t>
  </si>
  <si>
    <t>defect data</t>
  </si>
  <si>
    <t>page 300, section 3.2.2</t>
  </si>
  <si>
    <t>page 300, section 3.3.1</t>
  </si>
  <si>
    <t>Deep Belief Network (DBN)</t>
  </si>
  <si>
    <t>learn semantic features</t>
  </si>
  <si>
    <t>vectors</t>
  </si>
  <si>
    <t>normalize the values in the data vectors</t>
  </si>
  <si>
    <t>requirement of DBN</t>
  </si>
  <si>
    <t>page 301, section 4.1</t>
  </si>
  <si>
    <t>6, 21</t>
  </si>
  <si>
    <t>Pg 300, section 3.3.1</t>
  </si>
  <si>
    <t>to meet requirement of DBN (i.e., satisfy the DBN input range)</t>
  </si>
  <si>
    <t>page 301, section 4.3</t>
  </si>
  <si>
    <t>page 301, section 4.4</t>
  </si>
  <si>
    <t>conducting experiments with diﬀerent values of the parameters and evaluate with average F1 score</t>
  </si>
  <si>
    <t>tune the three parameters</t>
  </si>
  <si>
    <t>compare with ADTree, Naive Bayes, and Logistic Regression</t>
  </si>
  <si>
    <t xml:space="preserve">rebalance the dataset </t>
  </si>
  <si>
    <t>page 302, section 4.6</t>
  </si>
  <si>
    <t>compare with TCA+</t>
  </si>
  <si>
    <t>examine the performance of our semantic features in cross-project defect prediction</t>
  </si>
  <si>
    <t>Page 297, section I</t>
  </si>
  <si>
    <t>use deep learning (deep belief network)</t>
  </si>
  <si>
    <t>to automatically learn features from token vectors extracted from programs’ ASTs</t>
  </si>
  <si>
    <t>Page 298, section 1</t>
  </si>
  <si>
    <t>code snippets</t>
  </si>
  <si>
    <t>Page 299, section 3</t>
  </si>
  <si>
    <t>extract tokens from training and testing set</t>
  </si>
  <si>
    <t>to consider DBN randomness</t>
  </si>
  <si>
    <t>token vectors</t>
  </si>
  <si>
    <t>convert token vectors into integer vectors</t>
  </si>
  <si>
    <t>to train DBN (it requires integer vectos)</t>
  </si>
  <si>
    <t>Page 300, section 3.2.1</t>
  </si>
  <si>
    <t>use closest List Noise Identification (CLNI)</t>
  </si>
  <si>
    <t>prune noisy data</t>
  </si>
  <si>
    <t>We encode only the tokens that occur three or more times</t>
  </si>
  <si>
    <t>Page 300, section 3.2.2</t>
  </si>
  <si>
    <t>make the vectors acceptable by DBN</t>
  </si>
  <si>
    <t>Page 300, section 3.3.1</t>
  </si>
  <si>
    <t>tune three parameters, which are: 1) the number of hidden layers, 2) the number of nodes in each hidden layer, and 3) the number of training iterations</t>
  </si>
  <si>
    <t>train an effective DBN for learning semantic features</t>
  </si>
  <si>
    <t>Page 301, section 3.3.1</t>
  </si>
  <si>
    <t>normalize the values in the data vectors of the training and test sets by using min-max normalization</t>
  </si>
  <si>
    <t>satisfy the DBN input range</t>
  </si>
  <si>
    <t>Page 301, sectiion 3.4</t>
  </si>
  <si>
    <t>use test data</t>
  </si>
  <si>
    <t>Page 301, sectiion 4.1</t>
  </si>
  <si>
    <t>use precision and recall and f1</t>
  </si>
  <si>
    <t>Page 301, sectiion 4.2</t>
  </si>
  <si>
    <t>Page 301, sectiion 4.3</t>
  </si>
  <si>
    <t>use traditional features as baseline</t>
  </si>
  <si>
    <t>to evaluate performance of semantic features</t>
  </si>
  <si>
    <t>Page 302, sectiion 4.5</t>
  </si>
  <si>
    <t>build defect prediction models using shallow machine learning classifiers</t>
  </si>
  <si>
    <t>Page 303, sectiion 5</t>
  </si>
  <si>
    <t>consider DBN randomness</t>
  </si>
  <si>
    <t>compare to state-of-the-art technique</t>
  </si>
  <si>
    <t>Page 2, Section II.A</t>
  </si>
  <si>
    <t>Predict performance deviations</t>
  </si>
  <si>
    <t>Page 3, Section II.B</t>
  </si>
  <si>
    <t>Page 3, Section II.C</t>
  </si>
  <si>
    <t>Page 5, Section III.D</t>
  </si>
  <si>
    <t>select top -x PCs</t>
  </si>
  <si>
    <t>Page 1014, Section 2.B</t>
  </si>
  <si>
    <t>use clustering (k means and euclidean distance)</t>
  </si>
  <si>
    <t>to remove performance counters correlated</t>
  </si>
  <si>
    <t>Performance deviation detection</t>
  </si>
  <si>
    <t>to assign a label to instances</t>
  </si>
  <si>
    <t>Page 1014, Section 2.C</t>
  </si>
  <si>
    <t>use PCA</t>
  </si>
  <si>
    <t>to select the least correlated subset of performance counters that can still explain the maximum variations in the data.</t>
  </si>
  <si>
    <t>use eigenventor decomposition</t>
  </si>
  <si>
    <t>decompose top-x PCs</t>
  </si>
  <si>
    <t>Page 1013, Section 2</t>
  </si>
  <si>
    <t>sanitize missing and empty performance counter variables</t>
  </si>
  <si>
    <t>prepare performance data of the load test and the baseline test.</t>
  </si>
  <si>
    <t>Page 1015, Section 2.C</t>
  </si>
  <si>
    <t>Page 1016, Section 2.D</t>
  </si>
  <si>
    <t>use wrapper based attribute seleciton</t>
  </si>
  <si>
    <t>select performance counters</t>
  </si>
  <si>
    <t>to validate attribute selection</t>
  </si>
  <si>
    <t>Page 1016, Section 3</t>
  </si>
  <si>
    <t>to evaluate effectiveness</t>
  </si>
  <si>
    <t>Page 1016, Section 3.C</t>
  </si>
  <si>
    <t>Repeat experiments 10 times</t>
  </si>
  <si>
    <t>to ensure consistency among the findings</t>
  </si>
  <si>
    <t>Describe data collection from StackOverflow</t>
  </si>
  <si>
    <t>Measure Top-k accuracy (k=1, 3)</t>
  </si>
  <si>
    <t>Page 10, Section 7.2</t>
  </si>
  <si>
    <t>Measure speedup over baseline</t>
  </si>
  <si>
    <t xml:space="preserve">mutation operators </t>
  </si>
  <si>
    <t>mutation operators</t>
  </si>
  <si>
    <t>open-source compilers and compiler bugs</t>
  </si>
  <si>
    <t xml:space="preserve">evaluate the perfomance </t>
  </si>
  <si>
    <t>Model Requirements</t>
  </si>
  <si>
    <t>Page 80, section 3</t>
  </si>
  <si>
    <t>failing test program</t>
  </si>
  <si>
    <t>use reinforcement learning</t>
  </si>
  <si>
    <t>to generate passing test programs via structural mutation</t>
  </si>
  <si>
    <t>test programs</t>
  </si>
  <si>
    <t>to measure coverage distance between 2 test programs</t>
  </si>
  <si>
    <t>evauate different configurations</t>
  </si>
  <si>
    <t>Page 84, section 4.4</t>
  </si>
  <si>
    <t>Measure the position of each buggy file in the ranking list</t>
  </si>
  <si>
    <t>to measure the effectiveness of each approach</t>
  </si>
  <si>
    <t>evaluate the general perfomance of code2vec</t>
  </si>
  <si>
    <t>Structure-Based Traversal (SBT), marked words out of the vocabulary</t>
  </si>
  <si>
    <t xml:space="preserve">prepared data </t>
  </si>
  <si>
    <t>Train Recurrent Neural Network Seq2Seq</t>
  </si>
  <si>
    <t xml:space="preserve">train model to evaluate the perfomance </t>
  </si>
  <si>
    <t>uuse BLEU</t>
  </si>
  <si>
    <t>Words out of the vocabulary are marked as &lt;UNK&gt;</t>
  </si>
  <si>
    <t>prepare data for feeding deep models</t>
  </si>
  <si>
    <t>limit the vocabulary of both code tokens and comments to the 30000 most common tokens.</t>
  </si>
  <si>
    <t xml:space="preserve"> rare identifier names are not  represented in the dataset</t>
  </si>
  <si>
    <t>code tokens outside of the vocabulary are converted to the AST node type</t>
  </si>
  <si>
    <t>mitigate the problem caused by the fact that vocabulary of source code tokens is much greater than natural language</t>
  </si>
  <si>
    <t>for any word found in the training data that is not contained in the code embeddings, we expanded the vocabulary of the embeddings to include it and initialize it with a random vector</t>
  </si>
  <si>
    <t>embeddings</t>
  </si>
  <si>
    <t>In the set of embeddings, the words are not lowercased.</t>
  </si>
  <si>
    <t>Page 6, Section 3B</t>
  </si>
  <si>
    <t>use both pretrained embeddings as well as randomly initialized embeddings</t>
  </si>
  <si>
    <t>for training LSTM network</t>
  </si>
  <si>
    <t>used as input to ParagraphVector</t>
  </si>
  <si>
    <t>remove noise</t>
  </si>
  <si>
    <t>filtering data, filter out main and example methods as well as constructors and empty methods and methods which contain no alphanumerical characters</t>
  </si>
  <si>
    <t>prevent data leakage by excluding test data methods from the corpus</t>
  </si>
  <si>
    <t>create test data</t>
  </si>
  <si>
    <t>list of suggested method names</t>
  </si>
  <si>
    <t>tried different ranking strategies for evaluation</t>
  </si>
  <si>
    <t>ranked list of suggested method names</t>
  </si>
  <si>
    <t>Page 3, section 3.A</t>
  </si>
  <si>
    <t>method names</t>
  </si>
  <si>
    <t>Data Cleaning, Data Collection</t>
  </si>
  <si>
    <t>method body</t>
  </si>
  <si>
    <t>tokenize (using AST traversal)</t>
  </si>
  <si>
    <t>embed into vectors by the paragraph vector technique</t>
  </si>
  <si>
    <t>embed into vectors by the Word2Vect technique</t>
  </si>
  <si>
    <t xml:space="preserve"> both training and test data
from open source projects from four different communities, namely Apache, Spring, Hibernate, and Google</t>
  </si>
  <si>
    <t>to avoid polluting the results of searching for similar methods.</t>
  </si>
  <si>
    <t>limit the training data to methods
with reasonable size, and pick the size based on the method name length distribution</t>
  </si>
  <si>
    <t>eliminate from the training data all methods associated to the test data</t>
  </si>
  <si>
    <t>to avoid data leakage</t>
  </si>
  <si>
    <t>setup model parameters based on previous publications</t>
  </si>
  <si>
    <t>conduct sensitivity analysis on parameter k</t>
  </si>
  <si>
    <t>Page 8, section 5.C</t>
  </si>
  <si>
    <t>page: 381, section: 5.2.2</t>
  </si>
  <si>
    <t>compared different feature sets with significance test (Wilcoxon-Signed-Rank)</t>
  </si>
  <si>
    <t>to investigate which feature set is better</t>
  </si>
  <si>
    <t>page: 380, section: 5.1.3</t>
  </si>
  <si>
    <t>used common metrics (AUC, precision, recall)</t>
  </si>
  <si>
    <t>measure the effectiveness</t>
  </si>
  <si>
    <t xml:space="preserve">Use a CNN based neural-language model </t>
  </si>
  <si>
    <t>test of generality</t>
  </si>
  <si>
    <t>use the incident data from the first four months as the training data, and the incident data from the last two months as the testing data</t>
  </si>
  <si>
    <t>to compare against other performance</t>
  </si>
  <si>
    <t xml:space="preserve"> (Tagger A)</t>
  </si>
  <si>
    <t>(Tagger B)</t>
  </si>
  <si>
    <t>(Tagger C)</t>
  </si>
  <si>
    <t>(Tagger D)</t>
  </si>
  <si>
    <t>(Tagger E)</t>
  </si>
  <si>
    <t>(Tagger F)</t>
  </si>
  <si>
    <t>(Tagger G)</t>
  </si>
  <si>
    <t>Tagger</t>
  </si>
  <si>
    <t>Status</t>
  </si>
  <si>
    <t>TA</t>
  </si>
  <si>
    <t>DONE</t>
  </si>
  <si>
    <t>TB</t>
  </si>
  <si>
    <t>TC</t>
  </si>
  <si>
    <t>TD</t>
  </si>
  <si>
    <t>TE</t>
  </si>
  <si>
    <t>TF</t>
  </si>
  <si>
    <t>TG</t>
  </si>
  <si>
    <t>Not started</t>
  </si>
  <si>
    <t>In Progress</t>
  </si>
  <si>
    <t>x</t>
  </si>
  <si>
    <t>False Positive?</t>
  </si>
  <si>
    <t>Software engineering task ordered</t>
  </si>
  <si>
    <t>YES</t>
  </si>
  <si>
    <t>Automated UI exploration</t>
  </si>
  <si>
    <t>NO</t>
  </si>
  <si>
    <t>Clones detection</t>
  </si>
  <si>
    <t>Code location within media</t>
  </si>
  <si>
    <t>Code provenance</t>
  </si>
  <si>
    <t>Concept/Feature location</t>
  </si>
  <si>
    <t>Control flow</t>
  </si>
  <si>
    <t>Data flow</t>
  </si>
  <si>
    <t>Developer Forum Analysis</t>
  </si>
  <si>
    <t>Developer intention mining</t>
  </si>
  <si>
    <t>Diagram to code generation</t>
  </si>
  <si>
    <t>Non-code artifact generation</t>
  </si>
  <si>
    <t>Program synthesis</t>
  </si>
  <si>
    <t>Quality metrics estimation</t>
  </si>
  <si>
    <t>Reliability and Chaos Engineering</t>
  </si>
  <si>
    <t>Screenshots analysis</t>
  </si>
  <si>
    <t>Sketch to code generation</t>
  </si>
  <si>
    <t>Software Categorization</t>
  </si>
  <si>
    <t>&lt;- New task here</t>
  </si>
  <si>
    <t>Paper DOI</t>
  </si>
  <si>
    <t>Paper URL</t>
  </si>
  <si>
    <t>is an interesting case to discuss?</t>
  </si>
  <si>
    <t>It analyzes a correlation model and statistical differences between fixes and metrics such as mutations and coverage, I don't consider this an ML model</t>
  </si>
  <si>
    <t>178-II</t>
  </si>
  <si>
    <t>179-III</t>
  </si>
  <si>
    <t>180-IV</t>
  </si>
  <si>
    <t>182-V</t>
  </si>
  <si>
    <t>No learning from data, model based on rules and ULAM distance</t>
  </si>
  <si>
    <t>400-III</t>
  </si>
  <si>
    <t>402-V</t>
  </si>
  <si>
    <t>403-V</t>
  </si>
  <si>
    <t>404-VI</t>
  </si>
  <si>
    <t xml:space="preserve">textual data (i.e., NLP) + textual data (i.e., code data)
</t>
  </si>
  <si>
    <t>347-3</t>
  </si>
  <si>
    <t>page 401, section 5.1</t>
  </si>
  <si>
    <t>clone-based bug detection: inconsistent changes among clones in a clone group may indicate potential bugs. The goal of this paper is to reduce false positive</t>
  </si>
  <si>
    <t>page 402, section 5.2</t>
  </si>
  <si>
    <t>page 402, section 5.3</t>
  </si>
  <si>
    <t>page 403, section 5.4</t>
  </si>
  <si>
    <t>page 403, section 6 (detailed settings in section 7)</t>
  </si>
  <si>
    <t>page 929, section 4.1</t>
  </si>
  <si>
    <t>employs Deep Learning to automatically construct an oracle that not only determines whether a test execution reveals an energy defect, but also the type of energy defect</t>
  </si>
  <si>
    <t>page 930, section 4.2</t>
  </si>
  <si>
    <t>page 930, section 5.2</t>
  </si>
  <si>
    <t>page 930, section 5.3</t>
  </si>
  <si>
    <t>page 931, section 5.4</t>
  </si>
  <si>
    <t>page 932, section 6</t>
  </si>
  <si>
    <t>page 933, section 7.1</t>
  </si>
  <si>
    <t>page 934, section 7.2</t>
  </si>
  <si>
    <t>In 1st experiment, use the Labeled Dataset for both training and testing; In 2nd experiment, use the Labeled Dataset for trainingt and use real energy defects for testing</t>
  </si>
  <si>
    <t>page 935, section 7.3.1</t>
  </si>
  <si>
    <t>page 935, section 7.4</t>
  </si>
  <si>
    <t>page 936, section 7.5</t>
  </si>
  <si>
    <t>page 937, section 7.6</t>
  </si>
  <si>
    <t>page 53, section 3.2</t>
  </si>
  <si>
    <t>page 54, section 3.2</t>
  </si>
  <si>
    <t>page 54, section 3.3</t>
  </si>
  <si>
    <t>page 55, section 3.5</t>
  </si>
  <si>
    <t>page 56, section 4.1</t>
  </si>
  <si>
    <t>page 57, section 4.2</t>
  </si>
  <si>
    <t>page 57, section 4.3</t>
  </si>
  <si>
    <t xml:space="preserve">not ML </t>
  </si>
  <si>
    <t>not ML</t>
  </si>
  <si>
    <t>use Rule Induction to explain why ML models mispredict</t>
  </si>
  <si>
    <t>page 654, section 4</t>
  </si>
  <si>
    <t>page 654, section 5.1</t>
  </si>
  <si>
    <t>page 655, section 5.1</t>
  </si>
  <si>
    <t>page 179, section 3.1</t>
  </si>
  <si>
    <t>page 179, section 3.2</t>
  </si>
  <si>
    <t>page 180, section 4.1</t>
  </si>
  <si>
    <t>page 180, section 4.2</t>
  </si>
  <si>
    <t>page 181, section 4.2</t>
  </si>
  <si>
    <t>page 181, section 5.1</t>
  </si>
  <si>
    <t>page 181, section 5.2</t>
  </si>
  <si>
    <t>page 182, section 5.3</t>
  </si>
  <si>
    <t>page 401, section 3.3</t>
  </si>
  <si>
    <t>Detecting Missing Information in Bug Descriptions</t>
  </si>
  <si>
    <t>page 401, section 3.4</t>
  </si>
  <si>
    <t>page 402, section 3.4</t>
  </si>
  <si>
    <t>not SE tasks</t>
  </si>
  <si>
    <t>page 26, section 2.1</t>
  </si>
  <si>
    <t>automatically apply code changes implemented by developers during pull requests</t>
  </si>
  <si>
    <t>page 26, section 2.2</t>
  </si>
  <si>
    <t>page 27, section 2.3</t>
  </si>
  <si>
    <t>page 28, section 2.4</t>
  </si>
  <si>
    <t>page 29, section 3.2</t>
  </si>
  <si>
    <t>page 355, section 3</t>
  </si>
  <si>
    <t>leverage task dependencies for predicting delays in software projects.</t>
  </si>
  <si>
    <t>page 356, section 4</t>
  </si>
  <si>
    <t>page 357, section 5.1</t>
  </si>
  <si>
    <t>page 357, section 5.2</t>
  </si>
  <si>
    <t>page 358, section 5.3</t>
  </si>
  <si>
    <t>page 358, section 6</t>
  </si>
  <si>
    <t>page 358, section 7.1</t>
  </si>
  <si>
    <t>page 360, section 7.1</t>
  </si>
  <si>
    <t>page 155, section 3</t>
  </si>
  <si>
    <t>page 156 section 3</t>
  </si>
  <si>
    <t>page 156 section 4.2</t>
  </si>
  <si>
    <t>page 157 section 4.3</t>
  </si>
  <si>
    <t>page 158 section 5</t>
  </si>
  <si>
    <t>page 1206 section 3.2.1</t>
  </si>
  <si>
    <t>page 1206 section 3.2.3</t>
  </si>
  <si>
    <t>page 1207 section 3.2.3</t>
  </si>
  <si>
    <t>page 1207 section 3.2.4</t>
  </si>
  <si>
    <t>page 952 section 3.1</t>
  </si>
  <si>
    <t>page 952 section 3.2</t>
  </si>
  <si>
    <t>page 954 section 5.1</t>
  </si>
  <si>
    <t>page 955 section 5.2</t>
  </si>
  <si>
    <t>page 701 section 2.1</t>
  </si>
  <si>
    <t>page 702 section 2.1</t>
  </si>
  <si>
    <t>page 703 section 2.1</t>
  </si>
  <si>
    <t>page 703 section 3.1</t>
  </si>
  <si>
    <t>page 703 section 3.2</t>
  </si>
  <si>
    <t>page 704 section 3.3</t>
  </si>
  <si>
    <t>page 704 section 3.4</t>
  </si>
  <si>
    <t>page 704 section 3.5</t>
  </si>
  <si>
    <t>page 704 section 3.6</t>
  </si>
  <si>
    <t>Reason for false positive: About testing ML libraries, not applying ML</t>
  </si>
  <si>
    <t>Page 3, Section III</t>
  </si>
  <si>
    <t>Page 4, Section III</t>
  </si>
  <si>
    <t>Page 6, Section IV</t>
  </si>
  <si>
    <t>Page 2, Section II.A.1</t>
  </si>
  <si>
    <t>Page 2, Section II.A.2</t>
  </si>
  <si>
    <t>Page 3, Section II.A.2</t>
  </si>
  <si>
    <t>Page 3, Section II.A.3</t>
  </si>
  <si>
    <t>Page 5, Section III.C</t>
  </si>
  <si>
    <t>Page 5, Section III.D.2</t>
  </si>
  <si>
    <t>Page 5, Section III.D.3</t>
  </si>
  <si>
    <t>Page 5, Section III.E</t>
  </si>
  <si>
    <t>Page 6, Section III.F</t>
  </si>
  <si>
    <t>Page 7, Section IV.A</t>
  </si>
  <si>
    <t>Page 2, Section 2.1</t>
  </si>
  <si>
    <t>Description of bugs and excluded data from issue tracker based on status</t>
  </si>
  <si>
    <t>Page 2, Section 2.3</t>
  </si>
  <si>
    <t>Page 4, Section 3.2</t>
  </si>
  <si>
    <t>Page 5, Section 3.3</t>
  </si>
  <si>
    <t>Page 6, Section 5</t>
  </si>
  <si>
    <t>Page 7, Section 5.2</t>
  </si>
  <si>
    <t>Measure inference time Bugzie</t>
  </si>
  <si>
    <t>Page 8, Section 5.5</t>
  </si>
  <si>
    <t>State of the art classical ML baselines</t>
  </si>
  <si>
    <t>Comparison to prior work ngrams and seq2seq</t>
  </si>
  <si>
    <t>Raw text data</t>
  </si>
  <si>
    <t>They evaluate invariants and other fautl detection approach, not ML models</t>
  </si>
  <si>
    <t>Page 4, Section 3.1</t>
  </si>
  <si>
    <t>Page 6, Section 3.4</t>
  </si>
  <si>
    <t>Page 6, Section 4.1</t>
  </si>
  <si>
    <t>Page 7, Section 4.2</t>
  </si>
  <si>
    <t>Page 7, Section 4.3</t>
  </si>
  <si>
    <t>Page 9, Section 4.3</t>
  </si>
  <si>
    <t>Pre-trained model</t>
  </si>
  <si>
    <t>Page 5, Section 3.4</t>
  </si>
  <si>
    <t>Page 7, Section 4.4.2</t>
  </si>
  <si>
    <t>Page 9, Section 4.4.5</t>
  </si>
  <si>
    <t>Measure training time CNN</t>
  </si>
  <si>
    <t>Page 9, Section 5.1</t>
  </si>
  <si>
    <t>Page 3, Section 4.1</t>
  </si>
  <si>
    <t>Page 4, Section 4.2</t>
  </si>
  <si>
    <t>Page 4, Section 5.1</t>
  </si>
  <si>
    <t>Page 5, Section 5.3</t>
  </si>
  <si>
    <t>Page 5, Section 5.4</t>
  </si>
  <si>
    <t>Page 6, Section 6</t>
  </si>
  <si>
    <t>Page 6, Section 7.1</t>
  </si>
  <si>
    <t>Page 9, Section 7.2.1</t>
  </si>
  <si>
    <t>Use state-of-the-art baselines deep and no machine learning</t>
  </si>
  <si>
    <t>Page 5, Section 5.2</t>
  </si>
  <si>
    <t>Page 6, Section 5.2</t>
  </si>
  <si>
    <t>Page 7, Section 6.1</t>
  </si>
  <si>
    <t>Page 7, Section 6.2</t>
  </si>
  <si>
    <t>Page 7, Section 6.3</t>
  </si>
  <si>
    <t>Page 4, Section 3</t>
  </si>
  <si>
    <t>Page 5, Section IV.A</t>
  </si>
  <si>
    <t>Model Training_Model Evaluation</t>
  </si>
  <si>
    <t>Page 5, Section IV.B</t>
  </si>
  <si>
    <t>Page 5, Section IV.C</t>
  </si>
  <si>
    <t>Page 8, Section VI</t>
  </si>
  <si>
    <t>Page 9, Section VI</t>
  </si>
  <si>
    <t>Page 5, Section 3.1</t>
  </si>
  <si>
    <t>Measure code specific performance markers (execution time, fault detection rate)</t>
  </si>
  <si>
    <t>Page 7, Section 5.1.2</t>
  </si>
  <si>
    <t>Page 6, Section 5.1.1</t>
  </si>
  <si>
    <t>Page 6, Section 5.1.3</t>
  </si>
  <si>
    <t>Page 7, Section 5.2.1</t>
  </si>
  <si>
    <t>Page 8, Section 5.2.1</t>
  </si>
  <si>
    <t>Page 9, Section 5.2.2</t>
  </si>
  <si>
    <t>Page 6, Section IV.A</t>
  </si>
  <si>
    <t>Account for time delay for label availability in code</t>
  </si>
  <si>
    <t>Page 6, Section IV.B</t>
  </si>
  <si>
    <t>Page 6, Section VI</t>
  </si>
  <si>
    <t>Model, data</t>
  </si>
  <si>
    <t>Page 7, Section VI</t>
  </si>
  <si>
    <t>Repeat experiment 30 times with tree</t>
  </si>
  <si>
    <t>Note that only ML practices regarding the ML4SE approach are considered, not of the tested networks</t>
  </si>
  <si>
    <t>page 1127, section 3</t>
  </si>
  <si>
    <t>1229, Section 4</t>
  </si>
  <si>
    <t>26, Section 2a</t>
  </si>
  <si>
    <t>26, Section 2b</t>
  </si>
  <si>
    <t>27, Section 2c</t>
  </si>
  <si>
    <t>28, Section 2d</t>
  </si>
  <si>
    <t>only a survery about pull request based developement, they not building any model in the paper</t>
  </si>
  <si>
    <t>328, 329, Section 2</t>
  </si>
  <si>
    <t>329, Section 2</t>
  </si>
  <si>
    <t>332, Section 4</t>
  </si>
  <si>
    <t>335, Section 6</t>
  </si>
  <si>
    <t>355, Section 3</t>
  </si>
  <si>
    <t>355, Section 4</t>
  </si>
  <si>
    <t>358, Section 6a</t>
  </si>
  <si>
    <t>6, Section 6</t>
  </si>
  <si>
    <t>7, Section 8</t>
  </si>
  <si>
    <t>9, Section 8.3</t>
  </si>
  <si>
    <t>697, Section 2.3</t>
  </si>
  <si>
    <t>701, Section 6.2</t>
  </si>
  <si>
    <t>701, Section 6.1</t>
  </si>
  <si>
    <t xml:space="preserve">259, Section 4.2 </t>
  </si>
  <si>
    <t>260, Section 4.5</t>
  </si>
  <si>
    <t>260, Section 5</t>
  </si>
  <si>
    <t>261, Section 5</t>
  </si>
  <si>
    <t>They define criteria for software fairness and discrimination and develops a testing-based method; they evaluate their approach, however I think that is not a machine learning model</t>
  </si>
  <si>
    <t>376, Section 3.1</t>
  </si>
  <si>
    <t>654, Section 4</t>
  </si>
  <si>
    <t>655, Section 5</t>
  </si>
  <si>
    <t>654, Section 5</t>
  </si>
  <si>
    <t>521, Section 3</t>
  </si>
  <si>
    <t>522, Section 3</t>
  </si>
  <si>
    <t>numeric training features</t>
  </si>
  <si>
    <t>524, Section 5</t>
  </si>
  <si>
    <t>525, Section 5</t>
  </si>
  <si>
    <t>526, Section 5</t>
  </si>
  <si>
    <t>527, Section 5</t>
  </si>
  <si>
    <t>not machine learning models are evaluated</t>
  </si>
  <si>
    <t>42, Section 4C</t>
  </si>
  <si>
    <t>43, Section 4C</t>
  </si>
  <si>
    <t>44, Section 5</t>
  </si>
  <si>
    <t>numeric testing features and model</t>
  </si>
  <si>
    <t>44, Section 6</t>
  </si>
  <si>
    <t>45, Section 6</t>
  </si>
  <si>
    <t>46, Section 7</t>
  </si>
  <si>
    <t>not concerned with a specific software engineering task</t>
  </si>
  <si>
    <t>page: 524, section: IV a</t>
  </si>
  <si>
    <t>page: 524, section: V a</t>
  </si>
  <si>
    <t>page: 525, section: V b</t>
  </si>
  <si>
    <t>page: 526, section: V c</t>
  </si>
  <si>
    <t>page: 527, section: V d</t>
  </si>
  <si>
    <t>page: 527, section: V e</t>
  </si>
  <si>
    <t>comparison against state-of-the-art (CAN, n-gram)</t>
  </si>
  <si>
    <t>only software architect interview for requirements analysis, no ML only design thinking</t>
  </si>
  <si>
    <t>page: 5, section: 4.4</t>
  </si>
  <si>
    <t>page: 5, section: 4.5</t>
  </si>
  <si>
    <t>page: 6, section: 5.1.1</t>
  </si>
  <si>
    <t>page: 6: section: 5.1.1</t>
  </si>
  <si>
    <t>page: 7, section: 5.1.2</t>
  </si>
  <si>
    <t>page: 7, section: 5.1.3</t>
  </si>
  <si>
    <t>page: 7, section: 5.2.1</t>
  </si>
  <si>
    <t>Hotellings multivariate control chartgs</t>
  </si>
  <si>
    <t>page: 9, section: 5.2.3</t>
  </si>
  <si>
    <t>compared model against other approaches (nearest as this is not directly comparable)</t>
  </si>
  <si>
    <t>page: 155, section III</t>
  </si>
  <si>
    <t>page: 156, section IV a</t>
  </si>
  <si>
    <t>page: 156, section: IV b</t>
  </si>
  <si>
    <t>page: 156, section: IV c</t>
  </si>
  <si>
    <t>page: 157, section: V</t>
  </si>
  <si>
    <t>page: 158, section: VI</t>
  </si>
  <si>
    <t>comparison against state of the art (n-gram)</t>
  </si>
  <si>
    <t>these are features later used in predictive modles</t>
  </si>
  <si>
    <t>page: 775, section: 3</t>
  </si>
  <si>
    <t>deep learning variance differences</t>
  </si>
  <si>
    <t>page: 775, section: 3.1</t>
  </si>
  <si>
    <t>page: 775, section: 3.4</t>
  </si>
  <si>
    <t>page: 776, section: 4</t>
  </si>
  <si>
    <t>page: 839, section: 3.3</t>
  </si>
  <si>
    <t>bug report code</t>
  </si>
  <si>
    <t>page: 840, section: 3.4</t>
  </si>
  <si>
    <t>page: 484, section: 4.2</t>
  </si>
  <si>
    <t>faulty code</t>
  </si>
  <si>
    <t>page: 484, section: 4.3</t>
  </si>
  <si>
    <t>page: 486, section: 5.2</t>
  </si>
  <si>
    <t>no ML model only evaluation of a framework</t>
  </si>
  <si>
    <t>fault tolerance of code completion approaches</t>
  </si>
  <si>
    <t>predictions</t>
  </si>
  <si>
    <t>page: 7, section: 8.1</t>
  </si>
  <si>
    <t>page: 8, section: 8.2.2</t>
  </si>
  <si>
    <t>page: 9, section: 8.3</t>
  </si>
  <si>
    <t>page: 1228, section: 3.4</t>
  </si>
  <si>
    <t>compare model with baseline models</t>
  </si>
  <si>
    <t>page: 1228, section: 4</t>
  </si>
  <si>
    <t>page: 803, section: 3.1</t>
  </si>
  <si>
    <t>page: 804, section: 3.3</t>
  </si>
  <si>
    <t>defined features: size, complexity, diffusion, development pattern and comment of code</t>
  </si>
  <si>
    <t>page: 804, section: 3.4</t>
  </si>
  <si>
    <t>page: 805, section: 3.4</t>
  </si>
  <si>
    <t>page: 805, section: 3.5</t>
  </si>
  <si>
    <t>page: 805, section: 3.6</t>
  </si>
  <si>
    <t>page: 806, section: 3.7</t>
  </si>
  <si>
    <t>page: 269, section: V a</t>
  </si>
  <si>
    <t>page: 269, section: V b</t>
  </si>
  <si>
    <t>page: 269, section: V c</t>
  </si>
  <si>
    <t>page: 270, section: V d</t>
  </si>
  <si>
    <t>page: 270, section: V e</t>
  </si>
  <si>
    <t>comparison with state-of-the-art (SVM, LDA)</t>
  </si>
  <si>
    <t>page: 370, section: 5.1</t>
  </si>
  <si>
    <t>page: 372, section: 5.5</t>
  </si>
  <si>
    <t>page: 162, section: III</t>
  </si>
  <si>
    <t>page: 164, section: IV</t>
  </si>
  <si>
    <t>Page  954, Section V.A</t>
  </si>
  <si>
    <t>Page 952, Section III.A</t>
  </si>
  <si>
    <t>Page 952, Section III.B</t>
  </si>
  <si>
    <t>Page 955, Section V.B</t>
  </si>
  <si>
    <t>Page 707, Section III</t>
  </si>
  <si>
    <t>Page 708,Section 5.2</t>
  </si>
  <si>
    <t>Page 709, Section 5.3</t>
  </si>
  <si>
    <t>Page 42, Section IV.C</t>
  </si>
  <si>
    <t>Page 43, Section IV.C</t>
  </si>
  <si>
    <t>Page 43, Section V.B</t>
  </si>
  <si>
    <t>Page 43, Section V.A</t>
  </si>
  <si>
    <t>Page 44, Section VI.A</t>
  </si>
  <si>
    <t>Page 670, section iV.B</t>
  </si>
  <si>
    <t>Page 671, section V</t>
  </si>
  <si>
    <t>Page 671, section VI</t>
  </si>
  <si>
    <t>use recall and g-mean metrics of model</t>
  </si>
  <si>
    <t>Page 672, section VI</t>
  </si>
  <si>
    <t>use Vargha and Delaney's non-parametric A12 effect size with the metrics</t>
  </si>
  <si>
    <t>Page 672, section VII.A</t>
  </si>
  <si>
    <t>Page 673, section VII.B</t>
  </si>
  <si>
    <t>Page 674, section VII.D</t>
  </si>
  <si>
    <t>Page 1206, Section 3.2.1</t>
  </si>
  <si>
    <t>Page 1206, Section 3.2.3</t>
  </si>
  <si>
    <t>Page 1207, Section 3.2.3</t>
  </si>
  <si>
    <t>Page 1207, Section 3.2.4</t>
  </si>
  <si>
    <t>Page 1210, Section 4.1.1</t>
  </si>
  <si>
    <t>Page 1206, Section 3.2.2</t>
  </si>
  <si>
    <t>use state-of-the-art approaches, RCNN,.., remaui</t>
  </si>
  <si>
    <t>Page 804, section 3.4</t>
  </si>
  <si>
    <t>Page 805, section 3.4</t>
  </si>
  <si>
    <t>labels</t>
  </si>
  <si>
    <t>Page 805, section 3.5</t>
  </si>
  <si>
    <t>Page 805, section 3.6</t>
  </si>
  <si>
    <t>Page 805, section 3.6.2</t>
  </si>
  <si>
    <t>Page 806, section 3.6.5</t>
  </si>
  <si>
    <t>Page 806, section 3.7</t>
  </si>
  <si>
    <t>Page 807, section 4.2</t>
  </si>
  <si>
    <t>Page 265, section 3</t>
  </si>
  <si>
    <t>Page 267, section 3.C</t>
  </si>
  <si>
    <t>Page 267, section 4.A</t>
  </si>
  <si>
    <t>Page 269, section 4.A</t>
  </si>
  <si>
    <t>Page 269, section 4.B</t>
  </si>
  <si>
    <t>Page 269, section 4.C</t>
  </si>
  <si>
    <t>Data was split in 10 folds: folds x_1,..x_i were used for training LDA and fold x_{i+1} for testing, several rounds starting with x_1 for training, and x_2 testing</t>
  </si>
  <si>
    <t>Page 269, section 4.D</t>
  </si>
  <si>
    <t>parameter LDA sensitivity analysis</t>
  </si>
  <si>
    <t>Page 270, section 4.E</t>
  </si>
  <si>
    <t>performance metrics</t>
  </si>
  <si>
    <t>Page 552, section 3.4.1</t>
  </si>
  <si>
    <t>Page 552, section 3.4.2</t>
  </si>
  <si>
    <t>Page 138, section IV.A.1</t>
  </si>
  <si>
    <t>Page 139, section IV.A.1</t>
  </si>
  <si>
    <t>Page 139, section IV.A.2</t>
  </si>
  <si>
    <t>Page 139, section IV.A.3</t>
  </si>
  <si>
    <t>Page 139, section IV.A.4</t>
  </si>
  <si>
    <t>Page 139, section IV.B</t>
  </si>
  <si>
    <t>Page 139, section IV.B.2</t>
  </si>
  <si>
    <t>Page 140, section IV.B.2</t>
  </si>
  <si>
    <t>Page 140, section V.A</t>
  </si>
  <si>
    <t>models and data</t>
  </si>
  <si>
    <t>use state-of-the-art approaches, MOSES</t>
  </si>
  <si>
    <t>Page 140, section V.B</t>
  </si>
  <si>
    <t>assess performance of the model output</t>
  </si>
  <si>
    <t>Page 144, section X.I</t>
  </si>
  <si>
    <t>Page 143, Section VIII.A</t>
  </si>
  <si>
    <t>Page 143, Section VIII.B</t>
  </si>
  <si>
    <t>assess performance (output)</t>
  </si>
  <si>
    <t>use state-of-the-art approaches (Stucco, Ripper)</t>
  </si>
  <si>
    <t>keep track of the time cost and memory space cost of the model</t>
  </si>
  <si>
    <t>models and configurations</t>
  </si>
  <si>
    <t>use state-of-the-art approaches (CIT, random baseline)</t>
  </si>
  <si>
    <t>compute effectivenes (i.e., AUC, precision, recall) and efficiency (training and predicting time) of CNN</t>
  </si>
  <si>
    <t xml:space="preserve">use wrapper based attribute seleciton </t>
  </si>
  <si>
    <t>directly comparision (buglocator)</t>
  </si>
  <si>
    <t>state-of-the-art baselines (deep learning models)</t>
  </si>
  <si>
    <t>direct comparision (no statistical methods, own models)</t>
  </si>
  <si>
    <t>the paper does not train per se an algortithm, but it uses model, and compares them</t>
  </si>
  <si>
    <t>bug report</t>
  </si>
  <si>
    <t>https://drive.google.com/file/d/1WB4bRmEaMauWYto_I6204wWGJmEuQW4t/view?usp=sharing</t>
  </si>
  <si>
    <t>https://drive.google.com/file/d/1oJmu4XdoMJGdGWjTgc0iju1-OsEWVYbm/view?usp=sharing</t>
  </si>
  <si>
    <t>https://drive.google.com/file/d/1vCZ1Z95iHTJL-SXYG0vC7s-PUDfhT4i1/view?usp=sharing</t>
  </si>
  <si>
    <t>https://drive.google.com/file/d/1DBiMfAGg2YJNNshbUDzRDMm1x6_FUeud/view?usp=sharing</t>
  </si>
  <si>
    <t>https://drive.google.com/file/d/1AxOtfUTigUGp6nWYUpPh1cw26-9vqQ2t/view?usp=sharing</t>
  </si>
  <si>
    <t>https://drive.google.com/file/d/18Um3M6VAiLZkosg9VJJmlLcqObGn4PGW/view?usp=sharing</t>
  </si>
  <si>
    <t>https://drive.google.com/file/d/1gauBY3c2laD_XNzROdOmX9qSs8AfvPe8/view?usp=sharing</t>
  </si>
  <si>
    <t>https://drive.google.com/file/d/1islIY4iHsWbZv2j0YpCYsh6MsPQzmlRL/view?usp=sharing</t>
  </si>
  <si>
    <t>https://drive.google.com/file/d/19Vb-fci0-Rn2lwm6Ab-EARLbPK76TFxl/view?usp=sharing</t>
  </si>
  <si>
    <t>https://drive.google.com/file/d/1QhoIrklxWhgAa8I3rYqClVgyMfAupPTD/view?usp=sharing</t>
  </si>
  <si>
    <t>https://drive.google.com/file/d/1mr2bN6jlmO4CU1h1wbiKkBuSknoMUQtq/view?usp=sharing</t>
  </si>
  <si>
    <t>https://drive.google.com/file/d/1nk8DK_uu5jRUPeeE5JsOaKFX0eXEUPe2/view?usp=sharing</t>
  </si>
  <si>
    <t>https://drive.google.com/file/d/1n805QLSml7sZdpqFSxAHCFc6fDGwEiud/view?usp=sharing</t>
  </si>
  <si>
    <t>https://drive.google.com/file/d/1oTRsugblJG5fENgDVJ3De-UDeSWjQCaq/view?usp=sharing</t>
  </si>
  <si>
    <t>https://drive.google.com/file/d/1XgKvlH2BmKeD0YQIFn07Xd0xAeEr4Cqn/view?usp=sharing</t>
  </si>
  <si>
    <t>https://drive.google.com/file/d/1XN3ldSHs7plNEs-0B16G2mcO7veqGaQN/view?usp=sharing</t>
  </si>
  <si>
    <t>https://drive.google.com/file/d/1D5EZ-uP8FTXC_qmBJn8JNXqugjQ-QF33/view?usp=sharing</t>
  </si>
  <si>
    <t>https://drive.google.com/file/d/1zV_8Fbi0FfBwVeqfLb5mP-YUSUtiumzC/view?usp=sharing</t>
  </si>
  <si>
    <t>https://drive.google.com/file/d/1bi7YXfNt0LBAT4_uMAqjJi7Uow1igA12/view?usp=sharing</t>
  </si>
  <si>
    <t>https://drive.google.com/file/d/1BdPVbZqhRPjpQtD2C1u09sYXBdr84-HR/view?usp=sharing</t>
  </si>
  <si>
    <t>https://drive.google.com/file/d/18hOu_Vl0iiLBPdw2h2Ey3u--XxLeGKLf/view?usp=sharing</t>
  </si>
  <si>
    <t>https://drive.google.com/file/d/10PvC07Bl2W102JPrz3lDxShSHvHkjsAq/view?usp=sharing</t>
  </si>
  <si>
    <t>https://drive.google.com/file/d/14Qwt8ng0e_U2xaA90g1OkndxdiT9TFqh/view?usp=sharing</t>
  </si>
  <si>
    <t>https://drive.google.com/file/d/1bfMF0N1lwW9T-NVTC37xfEZUGPKXJxJY/view?usp=sharing</t>
  </si>
  <si>
    <t>https://drive.google.com/file/d/1hkk_OsJCnV7fnKKv1xHgex5Vj35Bzz74/view?usp=sharing</t>
  </si>
  <si>
    <t>https://drive.google.com/file/d/1Y1OQI3P21GvJPl17uBvMJXKeFU-SR0wk/view?usp=sharing</t>
  </si>
  <si>
    <t>https://drive.google.com/file/d/1C0pvlXekKVBZ5rPI2GoKpjNKOaiUzOC2/view?usp=sharing</t>
  </si>
  <si>
    <t>https://drive.google.com/file/d/1PTPvJA7ZjcblZUOeskCoCQ0j7ILEaJ3d/view?usp=sharing</t>
  </si>
  <si>
    <t>https://drive.google.com/file/d/1409ImvCbGnSio2ZwVzD64XXyjXKWrvhz/view?usp=sharing</t>
  </si>
  <si>
    <t>https://drive.google.com/file/d/1F1Kd_joBZStJrlvjXvXBS3_dfyUR5vgX/view?usp=sharing</t>
  </si>
  <si>
    <t>https://drive.google.com/file/d/1yEKbey6JQnyK7s3LQOq8AXdpC4l74-JF/view?usp=sharing</t>
  </si>
  <si>
    <t>https://drive.google.com/file/d/1TGziuvDHBUSoJKgMAm5qwn3z5cByw6T1/view?usp=sharing</t>
  </si>
  <si>
    <t>https://drive.google.com/file/d/108selP15cGxfsgDTiz8MuvWHVM-GJYA5/view?usp=sharing</t>
  </si>
  <si>
    <t>https://drive.google.com/file/d/1V7ukGVfTRarqinsM0HbZdQC6pcSpYd7S/view?usp=sharing</t>
  </si>
  <si>
    <t>https://drive.google.com/file/d/1NUnV6E2ej3SpJp5Ddl-JaSV7yssMbU7o/view?usp=sharing</t>
  </si>
  <si>
    <t>https://drive.google.com/file/d/1z9HhRKuFqf5E7-1E_EHMrXTmEOK87hCX/view?usp=sharing</t>
  </si>
  <si>
    <t>https://drive.google.com/file/d/1fWVv7IxOr7m5mRMjsD2Pmzw6EQ48SIci/view?usp=sharing</t>
  </si>
  <si>
    <t>https://drive.google.com/file/d/1_A7dpMqAYi0iMFQbAhNZqBDiVWtZ9Ras/view?usp=sharing</t>
  </si>
  <si>
    <t>https://drive.google.com/file/d/1HY1W3shMasu_iqB9m2DZ_pK0Sv2yXMhG/view?usp=sharing</t>
  </si>
  <si>
    <t>https://drive.google.com/file/d/1gtlaXSsNg5pEpQ0ZyxrJHb-7vERCEhzC/view?usp=sharing</t>
  </si>
  <si>
    <t>https://drive.google.com/file/d/1bE3l-rUYJ3NulRPwyvw9ZbgjFlRsuuxg/view?usp=sharing</t>
  </si>
  <si>
    <t>https://drive.google.com/file/d/1AQi36SYW6AxZOJz3gtz73aEi1-EubdJM/view?usp=sharing</t>
  </si>
  <si>
    <t>https://drive.google.com/file/d/1sB-xonJFCdKKVFj0c0ZujuSW-Fzmkeo3/view?usp=sharing</t>
  </si>
  <si>
    <t>https://drive.google.com/file/d/11Qm0o3ST2VDTbqiO_k1czLAuca-8mgrO/view?usp=sharing</t>
  </si>
  <si>
    <t>https://drive.google.com/file/d/1RzUdAZn-3OjokGBJvFL0vVKQbrh17ONQ/view?usp=sharing</t>
  </si>
  <si>
    <t>https://drive.google.com/file/d/1sfBXkX4hZgtI9t94E3aRMJvWqkPFIsS3/view?usp=sharing</t>
  </si>
  <si>
    <t>https://drive.google.com/file/d/1zYAcrwzS3KL_ErwBKdhjPSm1fm4sPcP9/view?usp=sharing</t>
  </si>
  <si>
    <t>https://drive.google.com/file/d/19_9hHScb-SsvztR5YVMwQ0lDgZnOVNKr/view?usp=sharing</t>
  </si>
  <si>
    <t>https://drive.google.com/file/d/1g58hXK85C9yPm1N_LSQATizTtufwy3cS/view?usp=sharing</t>
  </si>
  <si>
    <t>https://drive.google.com/file/d/1uk3b4qpFkIvGMiBObtGDGsDsaLQWu7lE/view?usp=sharing</t>
  </si>
  <si>
    <t>https://drive.google.com/file/d/1NDirzzsj6hGtrKnSi0IChLHlr2ddQZYK/view?usp=sharing</t>
  </si>
  <si>
    <t>https://drive.google.com/file/d/1ZA_NYX0fbBrmwcJo4XuxvPhxOyLBWcMZ/view?usp=sharing</t>
  </si>
  <si>
    <t>https://drive.google.com/file/d/1z5TEaHnUuEv3unfZMg5FX14KyquGwiA5/view?usp=sharing</t>
  </si>
  <si>
    <t>https://drive.google.com/file/d/1vGo8j6Ju_NDUi5N64ojnnfsvJlLrnO7a/view?usp=sharing</t>
  </si>
  <si>
    <t>https://drive.google.com/file/d/1N0m-gh-0vYEXJsfBFc5eTKSdH0YIsn92/view?usp=sharing</t>
  </si>
  <si>
    <t>https://drive.google.com/file/d/1I7yD7lsvSSCG_UY_BzPf_XI6UxRLHdlc/view?usp=sharing</t>
  </si>
  <si>
    <t>https://drive.google.com/file/d/16G21MBH6PmhnLyt7VoHrxb7gDCRjfIUI/view?usp=sharing</t>
  </si>
  <si>
    <t>https://drive.google.com/file/d/1GXdwug7yiEjLsmI1ZWJNBFjltE8WftUv/view?usp=sharing</t>
  </si>
  <si>
    <t>https://drive.google.com/file/d/1JZQNwY2TOpDBW0F0DdPs6-ms46LuyiQj/view?usp=sharing</t>
  </si>
  <si>
    <t>https://drive.google.com/file/d/1XmPK7ct4E8dIqUnV93yb1YVmoRFCLUp6/view?usp=sharing</t>
  </si>
  <si>
    <t>https://drive.google.com/file/d/1lzQxE7Lznh7QCyVfnpvQMLtOojWtVIMB/view?usp=sharing</t>
  </si>
  <si>
    <t>https://drive.google.com/file/d/1_tt4zUBmEXgirsvINFnMZb96WQUGwqjz/view?usp=sharing</t>
  </si>
  <si>
    <t>https://drive.google.com/file/d/1l7zORouaPHPaymAPFvkEtL2_Mqu3aoMm/view?usp=sharing</t>
  </si>
  <si>
    <t>https://drive.google.com/file/d/1QQ1WhoI3KqCnZ29wvYMt9ja1PtEH374z/view?usp=sharing</t>
  </si>
  <si>
    <t>https://drive.google.com/file/d/1E-xeEypEbEkFzmpuI75RxInyKrCmt0Y4/view?usp=sharing</t>
  </si>
  <si>
    <t>https://drive.google.com/file/d/1pADV6CiRzv3ZSsdWF3wWAYPyhNn0Qr9k/view?usp=sharing</t>
  </si>
  <si>
    <t>https://drive.google.com/file/d/1CSl0IGiaYwhF9_4qapj_Bxp0Rq4uR3jq/view?usp=sharing</t>
  </si>
  <si>
    <t>https://drive.google.com/file/d/1HocRZd0etZTgQwmnCrUYVDlF_XsJJBuy/view?usp=sharing</t>
  </si>
  <si>
    <t>https://drive.google.com/file/d/1HsEfCIfU93ep7wpHXCQA2wgJGk6ZY7u-/view?usp=sharing</t>
  </si>
  <si>
    <t>https://drive.google.com/file/d/1RzOhNqo2NAJh1a6rLvxjmfpe4Tvp0p8O/view?usp=sharing</t>
  </si>
  <si>
    <t>https://drive.google.com/file/d/11qeTUw7mgkNXIxUUneu0Hp01jufl4DF5/view?usp=sharing</t>
  </si>
  <si>
    <t>https://drive.google.com/file/d/1HGBrJ57s3yFehUjGpy7PmHiO0xmOq2E5/view?usp=sharing</t>
  </si>
  <si>
    <t>https://drive.google.com/file/d/1qDB5tlbRbUSd9fxKjqgVpFHVXMoIcQiK/view?usp=sharing</t>
  </si>
  <si>
    <t>https://drive.google.com/file/d/1Eto7Zm5mpDYXObZ3Rozs559hM334gzmk/view?usp=sharing</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</si>
</sst>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 m, yy"/>
    <numFmt numFmtId="165" formatCode="d,m,yy"/>
    <numFmt numFmtId="166" formatCode="yyyy-m"/>
  </numFmts>
  <fonts count="43">
    <font>
      <sz val="10.0"/>
      <color rgb="FF000000"/>
      <name val="Arial"/>
      <scheme val="minor"/>
    </font>
    <font>
      <color theme="1"/>
      <name val="Arial"/>
      <scheme val="minor"/>
    </font>
    <font>
      <b/>
      <sz val="11.0"/>
      <color rgb="FFFFFFFF"/>
      <name val="Arial"/>
      <scheme val="minor"/>
    </font>
    <font>
      <b/>
      <sz val="11.0"/>
      <color theme="0"/>
      <name val="Arial"/>
      <scheme val="minor"/>
    </font>
    <font>
      <b/>
      <color theme="1"/>
      <name val="Arial"/>
      <scheme val="minor"/>
    </font>
    <font>
      <color rgb="FF9900FF"/>
      <name val="Arial"/>
      <scheme val="minor"/>
    </font>
    <font>
      <color theme="1"/>
      <name val="Arial"/>
    </font>
    <font>
      <color theme="5"/>
      <name val="Arial"/>
      <scheme val="minor"/>
    </font>
    <font>
      <strike/>
      <color theme="5"/>
      <name val="Arial"/>
      <scheme val="minor"/>
    </font>
    <font>
      <color rgb="FF4A86E8"/>
      <name val="Arial"/>
    </font>
    <font>
      <b/>
      <strike/>
      <color theme="1"/>
      <name val="Arial"/>
      <scheme val="minor"/>
    </font>
    <font>
      <b/>
      <color rgb="FF9900FF"/>
      <name val="Arial"/>
      <scheme val="minor"/>
    </font>
    <font>
      <b/>
      <color theme="1"/>
      <name val="Arial"/>
    </font>
    <font>
      <b/>
      <strike/>
      <color theme="5"/>
      <name val="Arial"/>
      <scheme val="minor"/>
    </font>
    <font>
      <sz val="12.0"/>
      <color theme="1"/>
      <name val="Calibri"/>
    </font>
    <font>
      <sz val="12.0"/>
      <color rgb="FF000000"/>
      <name val="Calibri"/>
    </font>
    <font>
      <color rgb="FF000000"/>
      <name val="Arial"/>
    </font>
    <font>
      <u/>
      <color rgb="FF000000"/>
      <name val="Arial"/>
    </font>
    <font>
      <color rgb="FF000000"/>
      <name val="Roboto"/>
    </font>
    <font>
      <sz val="11.0"/>
      <color rgb="FF000000"/>
      <name val="Calibri"/>
    </font>
    <font>
      <b/>
      <sz val="11.0"/>
      <color rgb="FF000000"/>
      <name val="Calibri"/>
    </font>
    <font>
      <sz val="11.0"/>
      <color theme="1"/>
      <name val="Calibri"/>
    </font>
    <font>
      <sz val="9.0"/>
      <color rgb="FF000000"/>
      <name val="Arial"/>
    </font>
    <font>
      <strike/>
      <color theme="1"/>
      <name val="Arial"/>
    </font>
    <font>
      <strike/>
      <color theme="1"/>
      <name val="Arial"/>
      <scheme val="minor"/>
    </font>
    <font>
      <b/>
      <sz val="9.0"/>
      <color theme="1"/>
      <name val="Arial"/>
    </font>
    <font>
      <b/>
      <sz val="9.0"/>
      <color theme="1"/>
      <name val="CMR9"/>
    </font>
    <font>
      <b/>
      <sz val="12.0"/>
      <color rgb="FFFFFFFF"/>
      <name val="Arial"/>
      <scheme val="minor"/>
    </font>
    <font>
      <b/>
      <sz val="12.0"/>
      <color theme="0"/>
      <name val="Arial"/>
      <scheme val="minor"/>
    </font>
    <font>
      <color theme="0"/>
      <name val="Arial"/>
      <scheme val="minor"/>
    </font>
    <font>
      <color rgb="FFFFFFFF"/>
      <name val="Arial"/>
      <scheme val="minor"/>
    </font>
    <font>
      <b/>
      <sz val="12.0"/>
      <color rgb="FFFFFFFF"/>
      <name val="Arial"/>
    </font>
    <font>
      <u/>
      <color rgb="FF1155CC"/>
      <name val="Arial"/>
    </font>
    <font>
      <color theme="1"/>
      <name val="Roboto"/>
    </font>
    <font>
      <u/>
      <color rgb="FF0000FF"/>
    </font>
    <font>
      <color rgb="FF000000"/>
      <name val="Calibri"/>
    </font>
    <font>
      <sz val="9.0"/>
      <color theme="1"/>
      <name val="Arial"/>
    </font>
    <font>
      <sz val="9.0"/>
      <color theme="1"/>
      <name val="CMR9"/>
    </font>
    <font>
      <color theme="1"/>
      <name val="&quot;Times New Roman&quot;"/>
    </font>
    <font>
      <u/>
      <color rgb="FF1155CC"/>
      <name val="Arial"/>
    </font>
    <font>
      <u/>
      <color rgb="FF1155CC"/>
    </font>
    <font>
      <u/>
      <color rgb="FF0000FF"/>
    </font>
    <font>
      <u/>
      <color rgb="FF1155CC"/>
      <name val="Arial"/>
      <scheme val="minor"/>
    </font>
  </fonts>
  <fills count="55">
    <fill>
      <patternFill patternType="none"/>
    </fill>
    <fill>
      <patternFill patternType="lightGray"/>
    </fill>
    <fill>
      <patternFill patternType="solid">
        <fgColor rgb="FF0C343D"/>
        <bgColor rgb="FF0C343D"/>
      </patternFill>
    </fill>
    <fill>
      <patternFill patternType="solid">
        <fgColor rgb="FF1C4587"/>
        <bgColor rgb="FF1C4587"/>
      </patternFill>
    </fill>
    <fill>
      <patternFill patternType="solid">
        <fgColor rgb="FF3D85C6"/>
        <bgColor rgb="FF3D85C6"/>
      </patternFill>
    </fill>
    <fill>
      <patternFill patternType="solid">
        <fgColor rgb="FF6D9EEB"/>
        <bgColor rgb="FF6D9EEB"/>
      </patternFill>
    </fill>
    <fill>
      <patternFill patternType="solid">
        <fgColor rgb="FFEAD1DC"/>
        <bgColor rgb="FFEAD1DC"/>
      </patternFill>
    </fill>
    <fill>
      <patternFill patternType="solid">
        <fgColor rgb="FFB7B7B7"/>
        <bgColor rgb="FFB7B7B7"/>
      </patternFill>
    </fill>
    <fill>
      <patternFill patternType="solid">
        <fgColor rgb="FF999999"/>
        <bgColor rgb="FF999999"/>
      </patternFill>
    </fill>
    <fill>
      <patternFill patternType="solid">
        <fgColor rgb="FFFFFFFF"/>
        <bgColor rgb="FFFFFFFF"/>
      </patternFill>
    </fill>
    <fill>
      <patternFill patternType="solid">
        <fgColor rgb="FFFF9900"/>
        <bgColor rgb="FFFF9900"/>
      </patternFill>
    </fill>
    <fill>
      <patternFill patternType="solid">
        <fgColor rgb="FFD9D9D9"/>
        <bgColor rgb="FFD9D9D9"/>
      </patternFill>
    </fill>
    <fill>
      <patternFill patternType="solid">
        <fgColor rgb="FFD5A6BD"/>
        <bgColor rgb="FFD5A6BD"/>
      </patternFill>
    </fill>
    <fill>
      <patternFill patternType="solid">
        <fgColor rgb="FFFFE599"/>
        <bgColor rgb="FFFFE599"/>
      </patternFill>
    </fill>
    <fill>
      <patternFill patternType="solid">
        <fgColor rgb="FFFF0000"/>
        <bgColor rgb="FFFF0000"/>
      </patternFill>
    </fill>
    <fill>
      <patternFill patternType="solid">
        <fgColor rgb="FFB4A7D6"/>
        <bgColor rgb="FFB4A7D6"/>
      </patternFill>
    </fill>
    <fill>
      <patternFill patternType="solid">
        <fgColor rgb="FFD0E0E3"/>
        <bgColor rgb="FFD0E0E3"/>
      </patternFill>
    </fill>
    <fill>
      <patternFill patternType="solid">
        <fgColor rgb="FFFFF2CC"/>
        <bgColor rgb="FFFFF2CC"/>
      </patternFill>
    </fill>
    <fill>
      <patternFill patternType="solid">
        <fgColor rgb="FFD9D2E9"/>
        <bgColor rgb="FFD9D2E9"/>
      </patternFill>
    </fill>
    <fill>
      <patternFill patternType="solid">
        <fgColor rgb="FFFCE5CD"/>
        <bgColor rgb="FFFCE5CD"/>
      </patternFill>
    </fill>
    <fill>
      <patternFill patternType="solid">
        <fgColor rgb="FFF4CCCC"/>
        <bgColor rgb="FFF4CCCC"/>
      </patternFill>
    </fill>
    <fill>
      <patternFill patternType="solid">
        <fgColor rgb="FFB6D7A8"/>
        <bgColor rgb="FFB6D7A8"/>
      </patternFill>
    </fill>
    <fill>
      <patternFill patternType="solid">
        <fgColor rgb="FFE6B8AF"/>
        <bgColor rgb="FFE6B8AF"/>
      </patternFill>
    </fill>
    <fill>
      <patternFill patternType="solid">
        <fgColor rgb="FFC9DAF8"/>
        <bgColor rgb="FFC9DAF8"/>
      </patternFill>
    </fill>
    <fill>
      <patternFill patternType="solid">
        <fgColor rgb="FFFFFF00"/>
        <bgColor rgb="FFFFFF00"/>
      </patternFill>
    </fill>
    <fill>
      <patternFill patternType="solid">
        <fgColor rgb="FFDD7E6B"/>
        <bgColor rgb="FFDD7E6B"/>
      </patternFill>
    </fill>
    <fill>
      <patternFill patternType="solid">
        <fgColor rgb="FFD9EAD3"/>
        <bgColor rgb="FFD9EAD3"/>
      </patternFill>
    </fill>
    <fill>
      <patternFill patternType="solid">
        <fgColor rgb="FFCFE2F3"/>
        <bgColor rgb="FFCFE2F3"/>
      </patternFill>
    </fill>
    <fill>
      <patternFill patternType="solid">
        <fgColor rgb="FFF9CB9C"/>
        <bgColor rgb="FFF9CB9C"/>
      </patternFill>
    </fill>
    <fill>
      <patternFill patternType="solid">
        <fgColor rgb="FFE06666"/>
        <bgColor rgb="FFE06666"/>
      </patternFill>
    </fill>
    <fill>
      <patternFill patternType="solid">
        <fgColor rgb="FFF6B26B"/>
        <bgColor rgb="FFF6B26B"/>
      </patternFill>
    </fill>
    <fill>
      <patternFill patternType="solid">
        <fgColor rgb="FFEFEFEF"/>
        <bgColor rgb="FFEFEFEF"/>
      </patternFill>
    </fill>
    <fill>
      <patternFill patternType="solid">
        <fgColor rgb="FFEA9999"/>
        <bgColor rgb="FFEA9999"/>
      </patternFill>
    </fill>
    <fill>
      <patternFill patternType="solid">
        <fgColor rgb="FFA2C4C9"/>
        <bgColor rgb="FFA2C4C9"/>
      </patternFill>
    </fill>
    <fill>
      <patternFill patternType="solid">
        <fgColor rgb="FFA4C2F4"/>
        <bgColor rgb="FFA4C2F4"/>
      </patternFill>
    </fill>
    <fill>
      <patternFill patternType="solid">
        <fgColor rgb="FFC27BA0"/>
        <bgColor rgb="FFC27BA0"/>
      </patternFill>
    </fill>
    <fill>
      <patternFill patternType="solid">
        <fgColor rgb="FFE69138"/>
        <bgColor rgb="FFE69138"/>
      </patternFill>
    </fill>
    <fill>
      <patternFill patternType="solid">
        <fgColor rgb="FFFFD966"/>
        <bgColor rgb="FFFFD966"/>
      </patternFill>
    </fill>
    <fill>
      <patternFill patternType="solid">
        <fgColor rgb="FF8E7CC3"/>
        <bgColor rgb="FF8E7CC3"/>
      </patternFill>
    </fill>
    <fill>
      <patternFill patternType="solid">
        <fgColor rgb="FF93C47D"/>
        <bgColor rgb="FF93C47D"/>
      </patternFill>
    </fill>
    <fill>
      <patternFill patternType="solid">
        <fgColor rgb="FF4A86E8"/>
        <bgColor rgb="FF4A86E8"/>
      </patternFill>
    </fill>
    <fill>
      <patternFill patternType="solid">
        <fgColor rgb="FF45818E"/>
        <bgColor rgb="FF45818E"/>
      </patternFill>
    </fill>
    <fill>
      <patternFill patternType="solid">
        <fgColor rgb="FF9FC5E8"/>
        <bgColor rgb="FF9FC5E8"/>
      </patternFill>
    </fill>
    <fill>
      <patternFill patternType="solid">
        <fgColor rgb="FF6FA8DC"/>
        <bgColor rgb="FF6FA8DC"/>
      </patternFill>
    </fill>
    <fill>
      <patternFill patternType="solid">
        <fgColor rgb="FF00FFFF"/>
        <bgColor rgb="FF00FFFF"/>
      </patternFill>
    </fill>
    <fill>
      <patternFill patternType="solid">
        <fgColor rgb="FFA64D79"/>
        <bgColor rgb="FFA64D79"/>
      </patternFill>
    </fill>
    <fill>
      <patternFill patternType="solid">
        <fgColor rgb="FF00FF00"/>
        <bgColor rgb="FF00FF00"/>
      </patternFill>
    </fill>
    <fill>
      <patternFill patternType="solid">
        <fgColor rgb="FF674EA7"/>
        <bgColor rgb="FF674EA7"/>
      </patternFill>
    </fill>
    <fill>
      <patternFill patternType="solid">
        <fgColor rgb="FF6AA84F"/>
        <bgColor rgb="FF6AA84F"/>
      </patternFill>
    </fill>
    <fill>
      <patternFill patternType="solid">
        <fgColor rgb="FF980000"/>
        <bgColor rgb="FF980000"/>
      </patternFill>
    </fill>
    <fill>
      <patternFill patternType="solid">
        <fgColor rgb="FFCC4125"/>
        <bgColor rgb="FFCC4125"/>
      </patternFill>
    </fill>
    <fill>
      <patternFill patternType="solid">
        <fgColor rgb="FF76A5AF"/>
        <bgColor rgb="FF76A5AF"/>
      </patternFill>
    </fill>
    <fill>
      <patternFill patternType="solid">
        <fgColor rgb="FF3C78D8"/>
        <bgColor rgb="FF3C78D8"/>
      </patternFill>
    </fill>
    <fill>
      <patternFill patternType="solid">
        <fgColor rgb="FFCC0000"/>
        <bgColor rgb="FFCC0000"/>
      </patternFill>
    </fill>
    <fill>
      <patternFill patternType="solid">
        <fgColor theme="7"/>
        <bgColor theme="7"/>
      </patternFill>
    </fill>
  </fills>
  <borders count="1">
    <border/>
  </borders>
  <cellStyleXfs count="1">
    <xf borderId="0" fillId="0" fontId="0" numFmtId="0" applyAlignment="1" applyFont="1"/>
  </cellStyleXfs>
  <cellXfs count="19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right" readingOrder="0"/>
    </xf>
    <xf borderId="0" fillId="2" fontId="2" numFmtId="0" xfId="0" applyAlignment="1" applyFill="1" applyFont="1">
      <alignment horizontal="center" readingOrder="0" shrinkToFit="0" vertical="center" wrapText="1"/>
    </xf>
    <xf borderId="0" fillId="3" fontId="2" numFmtId="0" xfId="0" applyAlignment="1" applyFill="1" applyFont="1">
      <alignment horizontal="center" readingOrder="0" shrinkToFit="0" vertical="center" wrapText="1"/>
    </xf>
    <xf borderId="0" fillId="4" fontId="2" numFmtId="0" xfId="0" applyAlignment="1" applyFill="1" applyFont="1">
      <alignment horizontal="center" readingOrder="0" shrinkToFit="0" vertical="center" wrapText="0"/>
    </xf>
    <xf borderId="0" fillId="5" fontId="2" numFmtId="0" xfId="0" applyAlignment="1" applyFill="1" applyFont="1">
      <alignment horizontal="center" readingOrder="0" shrinkToFit="0" vertical="center" wrapText="1"/>
    </xf>
    <xf borderId="0" fillId="3" fontId="3" numFmtId="0" xfId="0" applyAlignment="1" applyFont="1">
      <alignment horizontal="center" readingOrder="0" shrinkToFit="0" vertical="center" wrapText="0"/>
    </xf>
    <xf borderId="0" fillId="0" fontId="1" numFmtId="0" xfId="0" applyFont="1"/>
    <xf borderId="0" fillId="0" fontId="4" numFmtId="0" xfId="0" applyFont="1"/>
    <xf borderId="0" fillId="0" fontId="1" numFmtId="0" xfId="0" applyAlignment="1" applyFont="1">
      <alignment shrinkToFit="0" wrapText="0"/>
    </xf>
    <xf borderId="0" fillId="0" fontId="1" numFmtId="164" xfId="0" applyAlignment="1" applyFont="1" applyNumberFormat="1">
      <alignment readingOrder="0"/>
    </xf>
    <xf borderId="0" fillId="0" fontId="4" numFmtId="0" xfId="0" applyAlignment="1" applyFont="1">
      <alignment shrinkToFit="0" wrapText="0"/>
    </xf>
    <xf borderId="0" fillId="0" fontId="5" numFmtId="0" xfId="0" applyAlignment="1" applyFont="1">
      <alignment readingOrder="0"/>
    </xf>
    <xf borderId="0" fillId="0" fontId="4" numFmtId="0" xfId="0" applyAlignment="1" applyFont="1">
      <alignment readingOrder="0"/>
    </xf>
    <xf borderId="0" fillId="0" fontId="1" numFmtId="0" xfId="0" applyAlignment="1" applyFont="1">
      <alignment readingOrder="0" shrinkToFit="0" wrapText="0"/>
    </xf>
    <xf borderId="0" fillId="0" fontId="4" numFmtId="0" xfId="0" applyAlignment="1" applyFont="1">
      <alignment readingOrder="0" shrinkToFit="0" wrapText="0"/>
    </xf>
    <xf borderId="0" fillId="0" fontId="6" numFmtId="0" xfId="0" applyAlignment="1" applyFont="1">
      <alignment vertical="bottom"/>
    </xf>
    <xf borderId="0" fillId="6" fontId="7"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shrinkToFit="0" wrapText="0"/>
    </xf>
    <xf borderId="0" fillId="0" fontId="8" numFmtId="0" xfId="0" applyAlignment="1" applyFont="1">
      <alignment readingOrder="0"/>
    </xf>
    <xf borderId="0" fillId="0" fontId="6" numFmtId="0" xfId="0" applyAlignment="1" applyFont="1">
      <alignment vertical="bottom"/>
    </xf>
    <xf borderId="0" fillId="0" fontId="1" numFmtId="0" xfId="0" applyFont="1"/>
    <xf borderId="0" fillId="0" fontId="4" numFmtId="0" xfId="0" applyAlignment="1" applyFont="1">
      <alignment shrinkToFit="0" wrapText="0"/>
    </xf>
    <xf borderId="0" fillId="0" fontId="4" numFmtId="0" xfId="0" applyFont="1"/>
    <xf borderId="0" fillId="0" fontId="9" numFmtId="0" xfId="0" applyAlignment="1" applyFont="1">
      <alignment vertical="bottom"/>
    </xf>
    <xf borderId="0" fillId="0" fontId="6" numFmtId="0" xfId="0" applyAlignment="1" applyFont="1">
      <alignment shrinkToFit="0" vertical="bottom" wrapText="0"/>
    </xf>
    <xf borderId="0" fillId="0" fontId="1" numFmtId="49" xfId="0" applyAlignment="1" applyFont="1" applyNumberFormat="1">
      <alignment readingOrder="0"/>
    </xf>
    <xf borderId="0" fillId="0" fontId="10" numFmtId="0" xfId="0" applyAlignment="1" applyFont="1">
      <alignment readingOrder="0" shrinkToFit="0" wrapText="0"/>
    </xf>
    <xf borderId="0" fillId="0" fontId="10" numFmtId="0" xfId="0" applyAlignment="1" applyFont="1">
      <alignment readingOrder="0"/>
    </xf>
    <xf borderId="0" fillId="0" fontId="11" numFmtId="0" xfId="0" applyAlignment="1" applyFont="1">
      <alignment readingOrder="0"/>
    </xf>
    <xf borderId="0" fillId="0" fontId="5" numFmtId="0" xfId="0" applyFont="1"/>
    <xf borderId="0" fillId="0" fontId="12" numFmtId="0" xfId="0" applyAlignment="1" applyFont="1">
      <alignment readingOrder="0" vertical="bottom"/>
    </xf>
    <xf borderId="0" fillId="0" fontId="1" numFmtId="49" xfId="0" applyFont="1" applyNumberFormat="1"/>
    <xf borderId="0" fillId="0" fontId="6" numFmtId="0" xfId="0" applyAlignment="1" applyFont="1">
      <alignment readingOrder="0" vertical="bottom"/>
    </xf>
    <xf borderId="0" fillId="0" fontId="13" numFmtId="0" xfId="0" applyAlignment="1" applyFont="1">
      <alignment readingOrder="0"/>
    </xf>
    <xf borderId="0" fillId="4" fontId="2" numFmtId="0" xfId="0" applyAlignment="1" applyFont="1">
      <alignment horizontal="center" readingOrder="0" shrinkToFit="0" vertical="center" wrapText="1"/>
    </xf>
    <xf borderId="0" fillId="3" fontId="3" numFmtId="0" xfId="0" applyAlignment="1" applyFont="1">
      <alignment horizontal="center" readingOrder="0" shrinkToFit="0" vertical="center" wrapText="1"/>
    </xf>
    <xf borderId="0" fillId="7" fontId="1" numFmtId="0" xfId="0" applyFill="1" applyFont="1"/>
    <xf borderId="0" fillId="0" fontId="1" numFmtId="0" xfId="0" applyAlignment="1" applyFont="1">
      <alignment readingOrder="0" shrinkToFit="0" wrapText="1"/>
    </xf>
    <xf borderId="0" fillId="0" fontId="14" numFmtId="0" xfId="0" applyAlignment="1" applyFont="1">
      <alignment vertical="bottom"/>
    </xf>
    <xf borderId="0" fillId="0" fontId="15" numFmtId="0" xfId="0" applyAlignment="1" applyFont="1">
      <alignment readingOrder="0" shrinkToFit="0" vertical="bottom" wrapText="0"/>
    </xf>
    <xf borderId="0" fillId="0" fontId="16" numFmtId="0" xfId="0" applyAlignment="1" applyFont="1">
      <alignment readingOrder="0" shrinkToFit="0" vertical="bottom" wrapText="0"/>
    </xf>
    <xf borderId="0" fillId="0" fontId="17" numFmtId="0" xfId="0" applyAlignment="1" applyFont="1">
      <alignment readingOrder="0" shrinkToFit="0" vertical="bottom" wrapText="0"/>
    </xf>
    <xf borderId="0" fillId="0" fontId="1" numFmtId="0" xfId="0" applyAlignment="1" applyFont="1">
      <alignment horizontal="right"/>
    </xf>
    <xf borderId="0" fillId="8" fontId="1" numFmtId="0" xfId="0" applyAlignment="1" applyFill="1" applyFont="1">
      <alignment readingOrder="0"/>
    </xf>
    <xf borderId="0" fillId="8" fontId="1" numFmtId="0" xfId="0" applyFont="1"/>
    <xf borderId="0" fillId="8" fontId="1" numFmtId="0" xfId="0" applyAlignment="1" applyFont="1">
      <alignment horizontal="right"/>
    </xf>
    <xf borderId="0" fillId="0" fontId="6" numFmtId="166" xfId="0" applyAlignment="1" applyFont="1" applyNumberFormat="1">
      <alignment vertical="bottom"/>
    </xf>
    <xf borderId="0" fillId="0" fontId="1" numFmtId="165" xfId="0" applyAlignment="1" applyFont="1" applyNumberFormat="1">
      <alignment horizontal="right" readingOrder="0"/>
    </xf>
    <xf borderId="0" fillId="9" fontId="18" numFmtId="0" xfId="0" applyAlignment="1" applyFill="1" applyFont="1">
      <alignment readingOrder="0"/>
    </xf>
    <xf borderId="0" fillId="0" fontId="1" numFmtId="166" xfId="0" applyFont="1" applyNumberFormat="1"/>
    <xf borderId="0" fillId="0" fontId="1" numFmtId="166" xfId="0" applyAlignment="1" applyFont="1" applyNumberFormat="1">
      <alignment readingOrder="0"/>
    </xf>
    <xf borderId="0" fillId="0" fontId="1" numFmtId="164" xfId="0" applyAlignment="1" applyFont="1" applyNumberFormat="1">
      <alignment horizontal="right" readingOrder="0"/>
    </xf>
    <xf borderId="0" fillId="9" fontId="16" numFmtId="0" xfId="0" applyAlignment="1" applyFont="1">
      <alignment horizontal="left" readingOrder="0"/>
    </xf>
    <xf borderId="0" fillId="0" fontId="19" numFmtId="0" xfId="0" applyAlignment="1" applyFont="1">
      <alignment readingOrder="0" shrinkToFit="0" vertical="bottom" wrapText="0"/>
    </xf>
    <xf borderId="0" fillId="0" fontId="20" numFmtId="0" xfId="0" applyAlignment="1" applyFont="1">
      <alignment shrinkToFit="0" vertical="bottom" wrapText="0"/>
    </xf>
    <xf borderId="0" fillId="0" fontId="21" numFmtId="0" xfId="0" applyAlignment="1" applyFont="1">
      <alignment vertical="bottom"/>
    </xf>
    <xf borderId="0" fillId="0" fontId="19" numFmtId="0" xfId="0" applyAlignment="1" applyFont="1">
      <alignment shrinkToFit="0" vertical="bottom" wrapText="0"/>
    </xf>
    <xf borderId="0" fillId="0" fontId="12" numFmtId="0" xfId="0" applyAlignment="1" applyFont="1">
      <alignment vertical="bottom"/>
    </xf>
    <xf borderId="0" fillId="0" fontId="12" numFmtId="0" xfId="0" applyAlignment="1" applyFont="1">
      <alignment vertical="bottom"/>
    </xf>
    <xf borderId="0" fillId="8" fontId="6" numFmtId="0" xfId="0" applyAlignment="1" applyFont="1">
      <alignment vertical="bottom"/>
    </xf>
    <xf borderId="0" fillId="10" fontId="1" numFmtId="49" xfId="0" applyAlignment="1" applyFill="1" applyFont="1" applyNumberFormat="1">
      <alignment readingOrder="0"/>
    </xf>
    <xf borderId="0" fillId="10" fontId="6" numFmtId="0" xfId="0" applyAlignment="1" applyFont="1">
      <alignment vertical="bottom"/>
    </xf>
    <xf borderId="0" fillId="10" fontId="1" numFmtId="0" xfId="0" applyAlignment="1" applyFont="1">
      <alignment readingOrder="0"/>
    </xf>
    <xf borderId="0" fillId="0" fontId="6" numFmtId="0" xfId="0" applyAlignment="1" applyFont="1">
      <alignment shrinkToFit="0" vertical="bottom" wrapText="0"/>
    </xf>
    <xf borderId="0" fillId="11" fontId="1" numFmtId="0" xfId="0" applyFill="1" applyFont="1"/>
    <xf borderId="0" fillId="11" fontId="6" numFmtId="0" xfId="0" applyAlignment="1" applyFont="1">
      <alignment shrinkToFit="0" vertical="bottom" wrapText="0"/>
    </xf>
    <xf borderId="0" fillId="11" fontId="1" numFmtId="0" xfId="0" applyAlignment="1" applyFont="1">
      <alignment readingOrder="0"/>
    </xf>
    <xf borderId="0" fillId="0" fontId="6" numFmtId="0" xfId="0" applyAlignment="1" applyFont="1">
      <alignment readingOrder="0" shrinkToFit="0" vertical="bottom" wrapText="0"/>
    </xf>
    <xf borderId="0" fillId="10" fontId="6" numFmtId="0" xfId="0" applyAlignment="1" applyFont="1">
      <alignment readingOrder="0" vertical="bottom"/>
    </xf>
    <xf borderId="0" fillId="2" fontId="2" numFmtId="0" xfId="0" applyAlignment="1" applyFont="1">
      <alignment horizontal="center" readingOrder="0" shrinkToFit="0" vertical="center" wrapText="0"/>
    </xf>
    <xf borderId="0" fillId="12" fontId="1" numFmtId="0" xfId="0" applyAlignment="1" applyFill="1" applyFont="1">
      <alignment readingOrder="0"/>
    </xf>
    <xf borderId="0" fillId="13" fontId="1" numFmtId="0" xfId="0" applyAlignment="1" applyFill="1" applyFont="1">
      <alignment readingOrder="0"/>
    </xf>
    <xf borderId="0" fillId="14" fontId="1" numFmtId="0" xfId="0" applyAlignment="1" applyFill="1" applyFont="1">
      <alignment readingOrder="0"/>
    </xf>
    <xf borderId="0" fillId="14" fontId="1" numFmtId="0" xfId="0" applyFont="1"/>
    <xf borderId="0" fillId="15" fontId="1" numFmtId="0" xfId="0" applyAlignment="1" applyFill="1" applyFont="1">
      <alignment readingOrder="0"/>
    </xf>
    <xf borderId="0" fillId="16" fontId="1" numFmtId="0" xfId="0" applyAlignment="1" applyFill="1" applyFont="1">
      <alignment readingOrder="0"/>
    </xf>
    <xf borderId="0" fillId="17" fontId="1" numFmtId="0" xfId="0" applyAlignment="1" applyFill="1" applyFont="1">
      <alignment readingOrder="0"/>
    </xf>
    <xf borderId="0" fillId="18" fontId="1" numFmtId="0" xfId="0" applyAlignment="1" applyFill="1" applyFont="1">
      <alignment readingOrder="0"/>
    </xf>
    <xf borderId="0" fillId="19" fontId="1" numFmtId="0" xfId="0" applyAlignment="1" applyFill="1" applyFont="1">
      <alignment readingOrder="0"/>
    </xf>
    <xf borderId="0" fillId="11" fontId="1" numFmtId="0" xfId="0" applyAlignment="1" applyFont="1">
      <alignment readingOrder="0" shrinkToFit="0" wrapText="0"/>
    </xf>
    <xf borderId="0" fillId="6" fontId="1" numFmtId="0" xfId="0" applyAlignment="1" applyFont="1">
      <alignment readingOrder="0"/>
    </xf>
    <xf borderId="0" fillId="20" fontId="1" numFmtId="0" xfId="0" applyAlignment="1" applyFill="1" applyFont="1">
      <alignment readingOrder="0"/>
    </xf>
    <xf borderId="0" fillId="21" fontId="1" numFmtId="0" xfId="0" applyAlignment="1" applyFill="1" applyFont="1">
      <alignment readingOrder="0"/>
    </xf>
    <xf borderId="0" fillId="22" fontId="1" numFmtId="0" xfId="0" applyAlignment="1" applyFill="1" applyFont="1">
      <alignment readingOrder="0"/>
    </xf>
    <xf borderId="0" fillId="23" fontId="1" numFmtId="0" xfId="0" applyAlignment="1" applyFill="1" applyFont="1">
      <alignment readingOrder="0"/>
    </xf>
    <xf borderId="0" fillId="16" fontId="1" numFmtId="0" xfId="0" applyAlignment="1" applyFont="1">
      <alignment readingOrder="0" shrinkToFit="0" wrapText="0"/>
    </xf>
    <xf borderId="0" fillId="24" fontId="1" numFmtId="0" xfId="0" applyAlignment="1" applyFill="1" applyFont="1">
      <alignment readingOrder="0"/>
    </xf>
    <xf borderId="0" fillId="25" fontId="1" numFmtId="0" xfId="0" applyAlignment="1" applyFill="1" applyFont="1">
      <alignment readingOrder="0"/>
    </xf>
    <xf borderId="0" fillId="26" fontId="1" numFmtId="0" xfId="0" applyAlignment="1" applyFill="1" applyFont="1">
      <alignment readingOrder="0"/>
    </xf>
    <xf borderId="0" fillId="27" fontId="1" numFmtId="0" xfId="0" applyAlignment="1" applyFill="1" applyFont="1">
      <alignment readingOrder="0"/>
    </xf>
    <xf borderId="0" fillId="28" fontId="1" numFmtId="0" xfId="0" applyAlignment="1" applyFill="1" applyFont="1">
      <alignment readingOrder="0"/>
    </xf>
    <xf borderId="0" fillId="29" fontId="1" numFmtId="0" xfId="0" applyAlignment="1" applyFill="1" applyFont="1">
      <alignment readingOrder="0"/>
    </xf>
    <xf borderId="0" fillId="30" fontId="1" numFmtId="0" xfId="0" applyAlignment="1" applyFill="1" applyFont="1">
      <alignment readingOrder="0"/>
    </xf>
    <xf borderId="0" fillId="11" fontId="1" numFmtId="0" xfId="0" applyAlignment="1" applyFont="1">
      <alignment shrinkToFit="0" wrapText="0"/>
    </xf>
    <xf borderId="0" fillId="24" fontId="1" numFmtId="0" xfId="0" applyAlignment="1" applyFont="1">
      <alignment readingOrder="0" shrinkToFit="0" wrapText="0"/>
    </xf>
    <xf borderId="0" fillId="24" fontId="1" numFmtId="0" xfId="0" applyFont="1"/>
    <xf borderId="0" fillId="31" fontId="1" numFmtId="0" xfId="0" applyAlignment="1" applyFill="1" applyFont="1">
      <alignment readingOrder="0"/>
    </xf>
    <xf borderId="0" fillId="31" fontId="1" numFmtId="0" xfId="0" applyFont="1"/>
    <xf borderId="0" fillId="31" fontId="1" numFmtId="0" xfId="0" applyAlignment="1" applyFont="1">
      <alignment shrinkToFit="0" wrapText="0"/>
    </xf>
    <xf borderId="0" fillId="32" fontId="1" numFmtId="0" xfId="0" applyAlignment="1" applyFill="1" applyFont="1">
      <alignment readingOrder="0"/>
    </xf>
    <xf borderId="0" fillId="33" fontId="1" numFmtId="0" xfId="0" applyAlignment="1" applyFill="1" applyFont="1">
      <alignment readingOrder="0"/>
    </xf>
    <xf borderId="0" fillId="34" fontId="1" numFmtId="0" xfId="0" applyAlignment="1" applyFill="1" applyFont="1">
      <alignment readingOrder="0"/>
    </xf>
    <xf borderId="0" fillId="35" fontId="1" numFmtId="0" xfId="0" applyAlignment="1" applyFill="1" applyFont="1">
      <alignment readingOrder="0"/>
    </xf>
    <xf borderId="0" fillId="36" fontId="1" numFmtId="0" xfId="0" applyAlignment="1" applyFill="1" applyFont="1">
      <alignment readingOrder="0"/>
    </xf>
    <xf borderId="0" fillId="37" fontId="1" numFmtId="0" xfId="0" applyAlignment="1" applyFill="1" applyFont="1">
      <alignment readingOrder="0"/>
    </xf>
    <xf borderId="0" fillId="38" fontId="1" numFmtId="0" xfId="0" applyAlignment="1" applyFill="1" applyFont="1">
      <alignment readingOrder="0"/>
    </xf>
    <xf borderId="0" fillId="39" fontId="1" numFmtId="0" xfId="0" applyAlignment="1" applyFill="1" applyFont="1">
      <alignment readingOrder="0"/>
    </xf>
    <xf borderId="0" fillId="40" fontId="1" numFmtId="0" xfId="0" applyAlignment="1" applyFill="1" applyFont="1">
      <alignment readingOrder="0"/>
    </xf>
    <xf borderId="0" fillId="41" fontId="1" numFmtId="0" xfId="0" applyAlignment="1" applyFill="1" applyFont="1">
      <alignment readingOrder="0"/>
    </xf>
    <xf borderId="0" fillId="27" fontId="1" numFmtId="0" xfId="0" applyAlignment="1" applyFont="1">
      <alignment readingOrder="0" shrinkToFit="0" wrapText="0"/>
    </xf>
    <xf borderId="0" fillId="5" fontId="1" numFmtId="0" xfId="0" applyAlignment="1" applyFont="1">
      <alignment readingOrder="0"/>
    </xf>
    <xf borderId="0" fillId="9" fontId="16" numFmtId="0" xfId="0" applyAlignment="1" applyFont="1">
      <alignment horizontal="left" readingOrder="0" shrinkToFit="0" wrapText="0"/>
    </xf>
    <xf borderId="0" fillId="42" fontId="1" numFmtId="0" xfId="0" applyAlignment="1" applyFill="1" applyFont="1">
      <alignment readingOrder="0"/>
    </xf>
    <xf borderId="0" fillId="43" fontId="1" numFmtId="0" xfId="0" applyAlignment="1" applyFill="1" applyFont="1">
      <alignment readingOrder="0"/>
    </xf>
    <xf borderId="0" fillId="44" fontId="1" numFmtId="0" xfId="0" applyAlignment="1" applyFill="1" applyFont="1">
      <alignment readingOrder="0"/>
    </xf>
    <xf borderId="0" fillId="0" fontId="19" numFmtId="0" xfId="0" applyAlignment="1" applyFont="1">
      <alignment readingOrder="0" shrinkToFit="0" vertical="bottom" wrapText="0"/>
    </xf>
    <xf borderId="0" fillId="24" fontId="19" numFmtId="0" xfId="0" applyAlignment="1" applyFont="1">
      <alignment readingOrder="0" shrinkToFit="0" vertical="bottom" wrapText="0"/>
    </xf>
    <xf borderId="0" fillId="24" fontId="19" numFmtId="0" xfId="0" applyAlignment="1" applyFont="1">
      <alignment shrinkToFit="0" vertical="bottom" wrapText="0"/>
    </xf>
    <xf borderId="0" fillId="24" fontId="19" numFmtId="0" xfId="0" applyAlignment="1" applyFont="1">
      <alignment readingOrder="0" shrinkToFit="0" vertical="bottom" wrapText="0"/>
    </xf>
    <xf borderId="0" fillId="45" fontId="1" numFmtId="0" xfId="0" applyAlignment="1" applyFill="1" applyFont="1">
      <alignment readingOrder="0"/>
    </xf>
    <xf borderId="0" fillId="46" fontId="1" numFmtId="0" xfId="0" applyAlignment="1" applyFill="1" applyFont="1">
      <alignment readingOrder="0"/>
    </xf>
    <xf borderId="0" fillId="4" fontId="1" numFmtId="0" xfId="0" applyAlignment="1" applyFont="1">
      <alignment readingOrder="0"/>
    </xf>
    <xf borderId="0" fillId="47" fontId="1" numFmtId="0" xfId="0" applyAlignment="1" applyFill="1" applyFont="1">
      <alignment readingOrder="0"/>
    </xf>
    <xf borderId="0" fillId="48" fontId="1" numFmtId="0" xfId="0" applyAlignment="1" applyFill="1" applyFont="1">
      <alignment readingOrder="0"/>
    </xf>
    <xf borderId="0" fillId="49" fontId="1" numFmtId="0" xfId="0" applyAlignment="1" applyFill="1" applyFont="1">
      <alignment readingOrder="0"/>
    </xf>
    <xf borderId="0" fillId="7" fontId="1" numFmtId="0" xfId="0" applyAlignment="1" applyFont="1">
      <alignment readingOrder="0"/>
    </xf>
    <xf borderId="0" fillId="50" fontId="1" numFmtId="0" xfId="0" applyAlignment="1" applyFill="1" applyFont="1">
      <alignment readingOrder="0"/>
    </xf>
    <xf borderId="0" fillId="51" fontId="1" numFmtId="0" xfId="0" applyAlignment="1" applyFill="1" applyFont="1">
      <alignment readingOrder="0"/>
    </xf>
    <xf borderId="0" fillId="52" fontId="1" numFmtId="0" xfId="0" applyAlignment="1" applyFill="1" applyFont="1">
      <alignment readingOrder="0"/>
    </xf>
    <xf borderId="0" fillId="53" fontId="1" numFmtId="0" xfId="0" applyAlignment="1" applyFill="1" applyFont="1">
      <alignment readingOrder="0"/>
    </xf>
    <xf borderId="0" fillId="0" fontId="22" numFmtId="0" xfId="0" applyAlignment="1" applyFont="1">
      <alignment readingOrder="0"/>
    </xf>
    <xf borderId="0" fillId="0" fontId="6" numFmtId="0" xfId="0" applyAlignment="1" applyFont="1">
      <alignment horizontal="right" vertical="bottom"/>
    </xf>
    <xf borderId="0" fillId="0" fontId="12" numFmtId="0" xfId="0" applyAlignment="1" applyFont="1">
      <alignment shrinkToFit="0" vertical="bottom" wrapText="0"/>
    </xf>
    <xf borderId="0" fillId="0" fontId="23" numFmtId="0" xfId="0" applyAlignment="1" applyFont="1">
      <alignment shrinkToFit="0" vertical="bottom" wrapText="0"/>
    </xf>
    <xf borderId="0" fillId="0" fontId="23" numFmtId="0" xfId="0" applyAlignment="1" applyFont="1">
      <alignment vertical="bottom"/>
    </xf>
    <xf borderId="0" fillId="0" fontId="24" numFmtId="0" xfId="0" applyAlignment="1" applyFont="1">
      <alignment readingOrder="0"/>
    </xf>
    <xf borderId="0" fillId="0" fontId="25" numFmtId="0" xfId="0" applyAlignment="1" applyFont="1">
      <alignment shrinkToFit="0" vertical="bottom" wrapText="0"/>
    </xf>
    <xf borderId="0" fillId="0" fontId="26" numFmtId="0" xfId="0" applyAlignment="1" applyFont="1">
      <alignment shrinkToFit="0" vertical="bottom" wrapText="0"/>
    </xf>
    <xf borderId="0" fillId="0" fontId="16" numFmtId="0" xfId="0" applyAlignment="1" applyFont="1">
      <alignment vertical="bottom"/>
    </xf>
    <xf borderId="0" fillId="0" fontId="6" numFmtId="0" xfId="0" applyAlignment="1" applyFont="1">
      <alignment shrinkToFit="0" vertical="bottom" wrapText="0"/>
    </xf>
    <xf borderId="0" fillId="0" fontId="24" numFmtId="0" xfId="0" applyAlignment="1" applyFont="1">
      <alignment shrinkToFit="0" wrapText="0"/>
    </xf>
    <xf borderId="0" fillId="0" fontId="24" numFmtId="0" xfId="0" applyFont="1"/>
    <xf borderId="0" fillId="0" fontId="1" numFmtId="0" xfId="0" applyAlignment="1" applyFont="1">
      <alignment horizontal="left" readingOrder="0"/>
    </xf>
    <xf borderId="0" fillId="0" fontId="6" numFmtId="0" xfId="0" applyAlignment="1" applyFont="1">
      <alignment readingOrder="0" shrinkToFit="0" vertical="bottom" wrapText="0"/>
    </xf>
    <xf borderId="0" fillId="17" fontId="4" numFmtId="0" xfId="0" applyAlignment="1" applyFont="1">
      <alignment horizontal="center" readingOrder="0"/>
    </xf>
    <xf borderId="0" fillId="34" fontId="4" numFmtId="0" xfId="0" applyAlignment="1" applyFont="1">
      <alignment horizontal="center" readingOrder="0"/>
    </xf>
    <xf borderId="0" fillId="11" fontId="4" numFmtId="0" xfId="0" applyAlignment="1" applyFont="1">
      <alignment horizontal="center" readingOrder="0"/>
    </xf>
    <xf borderId="0" fillId="0" fontId="4" numFmtId="0" xfId="0" applyAlignment="1" applyFont="1">
      <alignment horizontal="center" readingOrder="0"/>
    </xf>
    <xf borderId="0" fillId="46" fontId="6" numFmtId="0" xfId="0" applyAlignment="1" applyFont="1">
      <alignment vertical="bottom"/>
    </xf>
    <xf borderId="0" fillId="0" fontId="20" numFmtId="0" xfId="0" applyAlignment="1" applyFont="1">
      <alignment readingOrder="0" shrinkToFit="0" vertical="bottom" wrapText="0"/>
    </xf>
    <xf borderId="0" fillId="0" fontId="19" numFmtId="3" xfId="0" applyAlignment="1" applyFont="1" applyNumberFormat="1">
      <alignment readingOrder="0" shrinkToFit="0" vertical="bottom" wrapText="0"/>
    </xf>
    <xf borderId="0" fillId="0" fontId="20" numFmtId="3" xfId="0" applyAlignment="1" applyFont="1" applyNumberFormat="1">
      <alignment readingOrder="0" shrinkToFit="0" vertical="bottom" wrapText="0"/>
    </xf>
    <xf borderId="0" fillId="0" fontId="9" numFmtId="0" xfId="0" applyAlignment="1" applyFont="1">
      <alignment vertical="bottom"/>
    </xf>
    <xf borderId="0" fillId="0" fontId="6" numFmtId="3" xfId="0" applyAlignment="1" applyFont="1" applyNumberFormat="1">
      <alignment vertical="bottom"/>
    </xf>
    <xf borderId="0" fillId="34" fontId="1" numFmtId="0" xfId="0" applyFont="1"/>
    <xf borderId="0" fillId="2" fontId="27" numFmtId="0" xfId="0" applyAlignment="1" applyFont="1">
      <alignment horizontal="center" readingOrder="0" shrinkToFit="0" vertical="center" wrapText="1"/>
    </xf>
    <xf borderId="0" fillId="3" fontId="28" numFmtId="0" xfId="0" applyAlignment="1" applyFont="1">
      <alignment horizontal="center" readingOrder="0" shrinkToFit="0" vertical="center" wrapText="1"/>
    </xf>
    <xf borderId="0" fillId="3" fontId="27" numFmtId="0" xfId="0" applyAlignment="1" applyFont="1">
      <alignment horizontal="center" readingOrder="0" shrinkToFit="0" vertical="center" wrapText="1"/>
    </xf>
    <xf borderId="0" fillId="54" fontId="29" numFmtId="0" xfId="0" applyAlignment="1" applyFill="1" applyFont="1">
      <alignment readingOrder="0"/>
    </xf>
    <xf borderId="0" fillId="54" fontId="30" numFmtId="0" xfId="0" applyAlignment="1" applyFont="1">
      <alignment readingOrder="0"/>
    </xf>
    <xf borderId="0" fillId="2" fontId="31" numFmtId="0" xfId="0" applyAlignment="1" applyFont="1">
      <alignment horizontal="center" shrinkToFit="0" wrapText="1"/>
    </xf>
    <xf borderId="0" fillId="3" fontId="31" numFmtId="0" xfId="0" applyAlignment="1" applyFont="1">
      <alignment horizontal="center" shrinkToFit="0" wrapText="1"/>
    </xf>
    <xf borderId="0" fillId="4" fontId="31" numFmtId="0" xfId="0" applyAlignment="1" applyFont="1">
      <alignment horizontal="center" shrinkToFit="0" wrapText="1"/>
    </xf>
    <xf borderId="0" fillId="5" fontId="31" numFmtId="0" xfId="0" applyAlignment="1" applyFont="1">
      <alignment horizontal="center" shrinkToFit="0" wrapText="1"/>
    </xf>
    <xf borderId="0" fillId="0" fontId="32" numFmtId="0" xfId="0" applyAlignment="1" applyFont="1">
      <alignment vertical="bottom"/>
    </xf>
    <xf borderId="0" fillId="9" fontId="33" numFmtId="0" xfId="0" applyAlignment="1" applyFont="1">
      <alignment vertical="bottom"/>
    </xf>
    <xf borderId="0" fillId="9" fontId="33" numFmtId="0" xfId="0" applyAlignment="1" applyFont="1">
      <alignment vertical="bottom"/>
    </xf>
    <xf borderId="0" fillId="0" fontId="34" numFmtId="0" xfId="0" applyFont="1"/>
    <xf borderId="0" fillId="0" fontId="6" numFmtId="166" xfId="0" applyAlignment="1" applyFont="1" applyNumberFormat="1">
      <alignment horizontal="right" vertical="bottom"/>
    </xf>
    <xf borderId="0" fillId="2" fontId="28" numFmtId="0" xfId="0" applyAlignment="1" applyFont="1">
      <alignment horizontal="center" readingOrder="0" shrinkToFit="0" vertical="center" wrapText="1"/>
    </xf>
    <xf borderId="0" fillId="4" fontId="27" numFmtId="0" xfId="0" applyAlignment="1" applyFont="1">
      <alignment horizontal="center" readingOrder="0" shrinkToFit="0" vertical="center" wrapText="1"/>
    </xf>
    <xf borderId="0" fillId="5" fontId="27" numFmtId="0" xfId="0" applyAlignment="1" applyFont="1">
      <alignment horizontal="center" readingOrder="0" shrinkToFit="0" vertical="center" wrapText="1"/>
    </xf>
    <xf borderId="0" fillId="0" fontId="35" numFmtId="0" xfId="0" applyAlignment="1" applyFont="1">
      <alignment readingOrder="0" shrinkToFit="0" vertical="bottom" wrapText="0"/>
    </xf>
    <xf borderId="0" fillId="23" fontId="27" numFmtId="0" xfId="0" applyAlignment="1" applyFont="1">
      <alignment horizontal="center" readingOrder="0" shrinkToFit="0" vertical="center" wrapText="1"/>
    </xf>
    <xf borderId="0" fillId="23" fontId="1" numFmtId="0" xfId="0" applyFont="1"/>
    <xf borderId="0" fillId="0" fontId="36" numFmtId="0" xfId="0" applyAlignment="1" applyFont="1">
      <alignment vertical="bottom"/>
    </xf>
    <xf borderId="0" fillId="0" fontId="36" numFmtId="0" xfId="0" applyAlignment="1" applyFont="1">
      <alignment vertical="bottom"/>
    </xf>
    <xf borderId="0" fillId="0" fontId="37" numFmtId="0" xfId="0" applyAlignment="1" applyFont="1">
      <alignment vertical="bottom"/>
    </xf>
    <xf borderId="0" fillId="9" fontId="38" numFmtId="0" xfId="0" applyAlignment="1" applyFont="1">
      <alignment vertical="bottom"/>
    </xf>
    <xf borderId="0" fillId="0" fontId="14" numFmtId="0" xfId="0" applyAlignment="1" applyFont="1">
      <alignment vertical="bottom"/>
    </xf>
    <xf borderId="0" fillId="9" fontId="6" numFmtId="0" xfId="0" applyAlignment="1" applyFont="1">
      <alignment vertical="bottom"/>
    </xf>
    <xf borderId="0" fillId="9" fontId="39" numFmtId="0" xfId="0" applyAlignment="1" applyFont="1">
      <alignment vertical="bottom"/>
    </xf>
    <xf borderId="0" fillId="0" fontId="16" numFmtId="0" xfId="0" applyAlignment="1" applyFont="1">
      <alignment horizontal="left" readingOrder="0" shrinkToFit="0" vertical="bottom" wrapText="0"/>
    </xf>
    <xf borderId="0" fillId="0" fontId="1" numFmtId="3" xfId="0" applyAlignment="1" applyFont="1" applyNumberFormat="1">
      <alignment readingOrder="0"/>
    </xf>
    <xf borderId="0" fillId="0" fontId="40" numFmtId="0" xfId="0" applyAlignment="1" applyFont="1">
      <alignment readingOrder="0" shrinkToFit="0" wrapText="0"/>
    </xf>
    <xf borderId="0" fillId="0" fontId="41" numFmtId="0" xfId="0" applyAlignment="1" applyFont="1">
      <alignment readingOrder="0" shrinkToFit="0" wrapText="0"/>
    </xf>
    <xf borderId="0" fillId="0" fontId="4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igorbrigadir/stopwords/blob/master/en/indri.txt)"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8.xml"/><Relationship Id="rId3"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40" Type="http://schemas.openxmlformats.org/officeDocument/2006/relationships/hyperlink" Target="https://drive.google.com/file/d/1gtlaXSsNg5pEpQ0ZyxrJHb-7vERCEhzC/view?usp=sharing" TargetMode="External"/><Relationship Id="rId42" Type="http://schemas.openxmlformats.org/officeDocument/2006/relationships/hyperlink" Target="https://drive.google.com/file/d/1AQi36SYW6AxZOJz3gtz73aEi1-EubdJM/view?usp=sharing" TargetMode="External"/><Relationship Id="rId41" Type="http://schemas.openxmlformats.org/officeDocument/2006/relationships/hyperlink" Target="https://drive.google.com/file/d/1bE3l-rUYJ3NulRPwyvw9ZbgjFlRsuuxg/view?usp=sharing" TargetMode="External"/><Relationship Id="rId44" Type="http://schemas.openxmlformats.org/officeDocument/2006/relationships/hyperlink" Target="https://drive.google.com/file/d/11Qm0o3ST2VDTbqiO_k1czLAuca-8mgrO/view?usp=sharing" TargetMode="External"/><Relationship Id="rId43" Type="http://schemas.openxmlformats.org/officeDocument/2006/relationships/hyperlink" Target="https://drive.google.com/file/d/1sB-xonJFCdKKVFj0c0ZujuSW-Fzmkeo3/view?usp=sharing" TargetMode="External"/><Relationship Id="rId46" Type="http://schemas.openxmlformats.org/officeDocument/2006/relationships/hyperlink" Target="https://drive.google.com/file/d/1sfBXkX4hZgtI9t94E3aRMJvWqkPFIsS3/view?usp=sharing" TargetMode="External"/><Relationship Id="rId45" Type="http://schemas.openxmlformats.org/officeDocument/2006/relationships/hyperlink" Target="https://drive.google.com/file/d/1RzUdAZn-3OjokGBJvFL0vVKQbrh17ONQ/view?usp=sharing" TargetMode="External"/><Relationship Id="rId1" Type="http://schemas.openxmlformats.org/officeDocument/2006/relationships/hyperlink" Target="https://drive.google.com/file/d/1WB4bRmEaMauWYto_I6204wWGJmEuQW4t/view?usp=sharing" TargetMode="External"/><Relationship Id="rId2" Type="http://schemas.openxmlformats.org/officeDocument/2006/relationships/hyperlink" Target="https://drive.google.com/file/d/1oJmu4XdoMJGdGWjTgc0iju1-OsEWVYbm/view?usp=sharing" TargetMode="External"/><Relationship Id="rId3" Type="http://schemas.openxmlformats.org/officeDocument/2006/relationships/hyperlink" Target="https://drive.google.com/file/d/1vCZ1Z95iHTJL-SXYG0vC7s-PUDfhT4i1/view?usp=sharing" TargetMode="External"/><Relationship Id="rId4" Type="http://schemas.openxmlformats.org/officeDocument/2006/relationships/hyperlink" Target="https://drive.google.com/file/d/1DBiMfAGg2YJNNshbUDzRDMm1x6_FUeud/view?usp=sharing" TargetMode="External"/><Relationship Id="rId9" Type="http://schemas.openxmlformats.org/officeDocument/2006/relationships/hyperlink" Target="https://drive.google.com/file/d/19Vb-fci0-Rn2lwm6Ab-EARLbPK76TFxl/view?usp=sharing" TargetMode="External"/><Relationship Id="rId48" Type="http://schemas.openxmlformats.org/officeDocument/2006/relationships/hyperlink" Target="https://drive.google.com/file/d/19_9hHScb-SsvztR5YVMwQ0lDgZnOVNKr/view?usp=sharing" TargetMode="External"/><Relationship Id="rId47" Type="http://schemas.openxmlformats.org/officeDocument/2006/relationships/hyperlink" Target="https://drive.google.com/file/d/1zYAcrwzS3KL_ErwBKdhjPSm1fm4sPcP9/view?usp=sharing" TargetMode="External"/><Relationship Id="rId49" Type="http://schemas.openxmlformats.org/officeDocument/2006/relationships/hyperlink" Target="https://drive.google.com/file/d/1g58hXK85C9yPm1N_LSQATizTtufwy3cS/view?usp=sharing" TargetMode="External"/><Relationship Id="rId5" Type="http://schemas.openxmlformats.org/officeDocument/2006/relationships/hyperlink" Target="https://drive.google.com/file/d/1AxOtfUTigUGp6nWYUpPh1cw26-9vqQ2t/view?usp=sharing" TargetMode="External"/><Relationship Id="rId6" Type="http://schemas.openxmlformats.org/officeDocument/2006/relationships/hyperlink" Target="https://drive.google.com/file/d/18Um3M6VAiLZkosg9VJJmlLcqObGn4PGW/view?usp=sharing" TargetMode="External"/><Relationship Id="rId7" Type="http://schemas.openxmlformats.org/officeDocument/2006/relationships/hyperlink" Target="https://drive.google.com/file/d/1gauBY3c2laD_XNzROdOmX9qSs8AfvPe8/view?usp=sharing" TargetMode="External"/><Relationship Id="rId8" Type="http://schemas.openxmlformats.org/officeDocument/2006/relationships/hyperlink" Target="https://drive.google.com/file/d/1islIY4iHsWbZv2j0YpCYsh6MsPQzmlRL/view?usp=sharing" TargetMode="External"/><Relationship Id="rId73" Type="http://schemas.openxmlformats.org/officeDocument/2006/relationships/hyperlink" Target="https://drive.google.com/file/d/1qDB5tlbRbUSd9fxKjqgVpFHVXMoIcQiK/view?usp=sharing" TargetMode="External"/><Relationship Id="rId72" Type="http://schemas.openxmlformats.org/officeDocument/2006/relationships/hyperlink" Target="https://drive.google.com/file/d/1HGBrJ57s3yFehUjGpy7PmHiO0xmOq2E5/view?usp=sharing" TargetMode="External"/><Relationship Id="rId31" Type="http://schemas.openxmlformats.org/officeDocument/2006/relationships/hyperlink" Target="https://drive.google.com/file/d/1yEKbey6JQnyK7s3LQOq8AXdpC4l74-JF/view?usp=sharing" TargetMode="External"/><Relationship Id="rId75" Type="http://schemas.openxmlformats.org/officeDocument/2006/relationships/drawing" Target="../drawings/drawing16.xml"/><Relationship Id="rId30" Type="http://schemas.openxmlformats.org/officeDocument/2006/relationships/hyperlink" Target="https://drive.google.com/file/d/1F1Kd_joBZStJrlvjXvXBS3_dfyUR5vgX/view?usp=sharing" TargetMode="External"/><Relationship Id="rId74" Type="http://schemas.openxmlformats.org/officeDocument/2006/relationships/hyperlink" Target="https://drive.google.com/file/d/1Eto7Zm5mpDYXObZ3Rozs559hM334gzmk/view?usp=sharing" TargetMode="External"/><Relationship Id="rId33" Type="http://schemas.openxmlformats.org/officeDocument/2006/relationships/hyperlink" Target="https://drive.google.com/file/d/108selP15cGxfsgDTiz8MuvWHVM-GJYA5/view?usp=sharing" TargetMode="External"/><Relationship Id="rId32" Type="http://schemas.openxmlformats.org/officeDocument/2006/relationships/hyperlink" Target="https://drive.google.com/file/d/1TGziuvDHBUSoJKgMAm5qwn3z5cByw6T1/view?usp=sharing" TargetMode="External"/><Relationship Id="rId35" Type="http://schemas.openxmlformats.org/officeDocument/2006/relationships/hyperlink" Target="https://drive.google.com/file/d/1NUnV6E2ej3SpJp5Ddl-JaSV7yssMbU7o/view?usp=sharing" TargetMode="External"/><Relationship Id="rId34" Type="http://schemas.openxmlformats.org/officeDocument/2006/relationships/hyperlink" Target="https://drive.google.com/file/d/1V7ukGVfTRarqinsM0HbZdQC6pcSpYd7S/view?usp=sharing" TargetMode="External"/><Relationship Id="rId71" Type="http://schemas.openxmlformats.org/officeDocument/2006/relationships/hyperlink" Target="https://drive.google.com/file/d/11qeTUw7mgkNXIxUUneu0Hp01jufl4DF5/view?usp=sharing" TargetMode="External"/><Relationship Id="rId70" Type="http://schemas.openxmlformats.org/officeDocument/2006/relationships/hyperlink" Target="https://drive.google.com/file/d/1RzOhNqo2NAJh1a6rLvxjmfpe4Tvp0p8O/view?usp=sharing" TargetMode="External"/><Relationship Id="rId37" Type="http://schemas.openxmlformats.org/officeDocument/2006/relationships/hyperlink" Target="https://drive.google.com/file/d/1fWVv7IxOr7m5mRMjsD2Pmzw6EQ48SIci/view?usp=sharing" TargetMode="External"/><Relationship Id="rId36" Type="http://schemas.openxmlformats.org/officeDocument/2006/relationships/hyperlink" Target="https://drive.google.com/file/d/1z9HhRKuFqf5E7-1E_EHMrXTmEOK87hCX/view?usp=sharing" TargetMode="External"/><Relationship Id="rId39" Type="http://schemas.openxmlformats.org/officeDocument/2006/relationships/hyperlink" Target="https://drive.google.com/file/d/1HY1W3shMasu_iqB9m2DZ_pK0Sv2yXMhG/view?usp=sharing" TargetMode="External"/><Relationship Id="rId38" Type="http://schemas.openxmlformats.org/officeDocument/2006/relationships/hyperlink" Target="https://drive.google.com/file/d/1_A7dpMqAYi0iMFQbAhNZqBDiVWtZ9Ras/view?usp=sharing" TargetMode="External"/><Relationship Id="rId62" Type="http://schemas.openxmlformats.org/officeDocument/2006/relationships/hyperlink" Target="https://drive.google.com/file/d/1_tt4zUBmEXgirsvINFnMZb96WQUGwqjz/view?usp=sharing" TargetMode="External"/><Relationship Id="rId61" Type="http://schemas.openxmlformats.org/officeDocument/2006/relationships/hyperlink" Target="https://drive.google.com/file/d/1lzQxE7Lznh7QCyVfnpvQMLtOojWtVIMB/view?usp=sharing" TargetMode="External"/><Relationship Id="rId20" Type="http://schemas.openxmlformats.org/officeDocument/2006/relationships/hyperlink" Target="https://drive.google.com/file/d/1BdPVbZqhRPjpQtD2C1u09sYXBdr84-HR/view?usp=sharing" TargetMode="External"/><Relationship Id="rId64" Type="http://schemas.openxmlformats.org/officeDocument/2006/relationships/hyperlink" Target="https://drive.google.com/file/d/1QQ1WhoI3KqCnZ29wvYMt9ja1PtEH374z/view?usp=sharing" TargetMode="External"/><Relationship Id="rId63" Type="http://schemas.openxmlformats.org/officeDocument/2006/relationships/hyperlink" Target="https://drive.google.com/file/d/1l7zORouaPHPaymAPFvkEtL2_Mqu3aoMm/view?usp=sharing" TargetMode="External"/><Relationship Id="rId22" Type="http://schemas.openxmlformats.org/officeDocument/2006/relationships/hyperlink" Target="https://drive.google.com/file/d/10PvC07Bl2W102JPrz3lDxShSHvHkjsAq/view?usp=sharing" TargetMode="External"/><Relationship Id="rId66" Type="http://schemas.openxmlformats.org/officeDocument/2006/relationships/hyperlink" Target="https://drive.google.com/file/d/1pADV6CiRzv3ZSsdWF3wWAYPyhNn0Qr9k/view?usp=sharing" TargetMode="External"/><Relationship Id="rId21" Type="http://schemas.openxmlformats.org/officeDocument/2006/relationships/hyperlink" Target="https://drive.google.com/file/d/18hOu_Vl0iiLBPdw2h2Ey3u--XxLeGKLf/view?usp=sharing" TargetMode="External"/><Relationship Id="rId65" Type="http://schemas.openxmlformats.org/officeDocument/2006/relationships/hyperlink" Target="https://drive.google.com/file/d/1E-xeEypEbEkFzmpuI75RxInyKrCmt0Y4/view?usp=sharing" TargetMode="External"/><Relationship Id="rId24" Type="http://schemas.openxmlformats.org/officeDocument/2006/relationships/hyperlink" Target="https://drive.google.com/file/d/1bfMF0N1lwW9T-NVTC37xfEZUGPKXJxJY/view?usp=sharing" TargetMode="External"/><Relationship Id="rId68" Type="http://schemas.openxmlformats.org/officeDocument/2006/relationships/hyperlink" Target="https://drive.google.com/file/d/1HocRZd0etZTgQwmnCrUYVDlF_XsJJBuy/view?usp=sharing" TargetMode="External"/><Relationship Id="rId23" Type="http://schemas.openxmlformats.org/officeDocument/2006/relationships/hyperlink" Target="https://drive.google.com/file/d/14Qwt8ng0e_U2xaA90g1OkndxdiT9TFqh/view?usp=sharing" TargetMode="External"/><Relationship Id="rId67" Type="http://schemas.openxmlformats.org/officeDocument/2006/relationships/hyperlink" Target="https://drive.google.com/file/d/1CSl0IGiaYwhF9_4qapj_Bxp0Rq4uR3jq/view?usp=sharing" TargetMode="External"/><Relationship Id="rId60" Type="http://schemas.openxmlformats.org/officeDocument/2006/relationships/hyperlink" Target="https://drive.google.com/file/d/1XmPK7ct4E8dIqUnV93yb1YVmoRFCLUp6/view?usp=sharing" TargetMode="External"/><Relationship Id="rId26" Type="http://schemas.openxmlformats.org/officeDocument/2006/relationships/hyperlink" Target="https://drive.google.com/file/d/1Y1OQI3P21GvJPl17uBvMJXKeFU-SR0wk/view?usp=sharing" TargetMode="External"/><Relationship Id="rId25" Type="http://schemas.openxmlformats.org/officeDocument/2006/relationships/hyperlink" Target="https://drive.google.com/file/d/1hkk_OsJCnV7fnKKv1xHgex5Vj35Bzz74/view?usp=sharing" TargetMode="External"/><Relationship Id="rId69" Type="http://schemas.openxmlformats.org/officeDocument/2006/relationships/hyperlink" Target="https://drive.google.com/file/d/1HsEfCIfU93ep7wpHXCQA2wgJGk6ZY7u-/view?usp=sharing" TargetMode="External"/><Relationship Id="rId28" Type="http://schemas.openxmlformats.org/officeDocument/2006/relationships/hyperlink" Target="https://drive.google.com/file/d/1PTPvJA7ZjcblZUOeskCoCQ0j7ILEaJ3d/view?usp=sharing" TargetMode="External"/><Relationship Id="rId27" Type="http://schemas.openxmlformats.org/officeDocument/2006/relationships/hyperlink" Target="https://drive.google.com/file/d/1C0pvlXekKVBZ5rPI2GoKpjNKOaiUzOC2/view?usp=sharing" TargetMode="External"/><Relationship Id="rId29" Type="http://schemas.openxmlformats.org/officeDocument/2006/relationships/hyperlink" Target="https://drive.google.com/file/d/1409ImvCbGnSio2ZwVzD64XXyjXKWrvhz/view?usp=sharing" TargetMode="External"/><Relationship Id="rId51" Type="http://schemas.openxmlformats.org/officeDocument/2006/relationships/hyperlink" Target="https://drive.google.com/file/d/1NDirzzsj6hGtrKnSi0IChLHlr2ddQZYK/view?usp=sharing" TargetMode="External"/><Relationship Id="rId50" Type="http://schemas.openxmlformats.org/officeDocument/2006/relationships/hyperlink" Target="https://drive.google.com/file/d/1uk3b4qpFkIvGMiBObtGDGsDsaLQWu7lE/view?usp=sharing" TargetMode="External"/><Relationship Id="rId53" Type="http://schemas.openxmlformats.org/officeDocument/2006/relationships/hyperlink" Target="https://drive.google.com/file/d/1z5TEaHnUuEv3unfZMg5FX14KyquGwiA5/view?usp=sharing" TargetMode="External"/><Relationship Id="rId52" Type="http://schemas.openxmlformats.org/officeDocument/2006/relationships/hyperlink" Target="https://drive.google.com/file/d/1ZA_NYX0fbBrmwcJo4XuxvPhxOyLBWcMZ/view?usp=sharing" TargetMode="External"/><Relationship Id="rId11" Type="http://schemas.openxmlformats.org/officeDocument/2006/relationships/hyperlink" Target="https://drive.google.com/file/d/1mr2bN6jlmO4CU1h1wbiKkBuSknoMUQtq/view?usp=sharing" TargetMode="External"/><Relationship Id="rId55" Type="http://schemas.openxmlformats.org/officeDocument/2006/relationships/hyperlink" Target="https://drive.google.com/file/d/1N0m-gh-0vYEXJsfBFc5eTKSdH0YIsn92/view?usp=sharing" TargetMode="External"/><Relationship Id="rId10" Type="http://schemas.openxmlformats.org/officeDocument/2006/relationships/hyperlink" Target="https://drive.google.com/file/d/1QhoIrklxWhgAa8I3rYqClVgyMfAupPTD/view?usp=sharing" TargetMode="External"/><Relationship Id="rId54" Type="http://schemas.openxmlformats.org/officeDocument/2006/relationships/hyperlink" Target="https://drive.google.com/file/d/1vGo8j6Ju_NDUi5N64ojnnfsvJlLrnO7a/view?usp=sharing" TargetMode="External"/><Relationship Id="rId13" Type="http://schemas.openxmlformats.org/officeDocument/2006/relationships/hyperlink" Target="https://drive.google.com/file/d/1n805QLSml7sZdpqFSxAHCFc6fDGwEiud/view?usp=sharing" TargetMode="External"/><Relationship Id="rId57" Type="http://schemas.openxmlformats.org/officeDocument/2006/relationships/hyperlink" Target="https://drive.google.com/file/d/16G21MBH6PmhnLyt7VoHrxb7gDCRjfIUI/view?usp=sharing" TargetMode="External"/><Relationship Id="rId12" Type="http://schemas.openxmlformats.org/officeDocument/2006/relationships/hyperlink" Target="https://drive.google.com/file/d/1nk8DK_uu5jRUPeeE5JsOaKFX0eXEUPe2/view?usp=sharing" TargetMode="External"/><Relationship Id="rId56" Type="http://schemas.openxmlformats.org/officeDocument/2006/relationships/hyperlink" Target="https://drive.google.com/file/d/1I7yD7lsvSSCG_UY_BzPf_XI6UxRLHdlc/view?usp=sharing" TargetMode="External"/><Relationship Id="rId15" Type="http://schemas.openxmlformats.org/officeDocument/2006/relationships/hyperlink" Target="https://drive.google.com/file/d/1XgKvlH2BmKeD0YQIFn07Xd0xAeEr4Cqn/view?usp=sharing" TargetMode="External"/><Relationship Id="rId59" Type="http://schemas.openxmlformats.org/officeDocument/2006/relationships/hyperlink" Target="https://drive.google.com/file/d/1JZQNwY2TOpDBW0F0DdPs6-ms46LuyiQj/view?usp=sharing" TargetMode="External"/><Relationship Id="rId14" Type="http://schemas.openxmlformats.org/officeDocument/2006/relationships/hyperlink" Target="https://drive.google.com/file/d/1oTRsugblJG5fENgDVJ3De-UDeSWjQCaq/view?usp=sharing" TargetMode="External"/><Relationship Id="rId58" Type="http://schemas.openxmlformats.org/officeDocument/2006/relationships/hyperlink" Target="https://drive.google.com/file/d/1GXdwug7yiEjLsmI1ZWJNBFjltE8WftUv/view?usp=sharing" TargetMode="External"/><Relationship Id="rId17" Type="http://schemas.openxmlformats.org/officeDocument/2006/relationships/hyperlink" Target="https://drive.google.com/file/d/1D5EZ-uP8FTXC_qmBJn8JNXqugjQ-QF33/view?usp=sharing" TargetMode="External"/><Relationship Id="rId16" Type="http://schemas.openxmlformats.org/officeDocument/2006/relationships/hyperlink" Target="https://drive.google.com/file/d/1XN3ldSHs7plNEs-0B16G2mcO7veqGaQN/view?usp=sharing" TargetMode="External"/><Relationship Id="rId19" Type="http://schemas.openxmlformats.org/officeDocument/2006/relationships/hyperlink" Target="https://drive.google.com/file/d/1bi7YXfNt0LBAT4_uMAqjJi7Uow1igA12/view?usp=sharing" TargetMode="External"/><Relationship Id="rId18" Type="http://schemas.openxmlformats.org/officeDocument/2006/relationships/hyperlink" Target="https://drive.google.com/file/d/1zV_8Fbi0FfBwVeqfLb5mP-YUSUtiumzC/view?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2" max="2" width="7.75"/>
    <col customWidth="1" min="4" max="4" width="20.5"/>
    <col customWidth="1" min="6" max="6" width="26.63"/>
    <col customWidth="1" min="9" max="9" width="6.88"/>
    <col customWidth="1" min="10" max="10" width="8.38"/>
    <col customWidth="1" min="11" max="11" width="7.5"/>
  </cols>
  <sheetData>
    <row r="1">
      <c r="A1" s="1" t="s">
        <v>0</v>
      </c>
      <c r="B1" s="2" t="s">
        <v>1</v>
      </c>
      <c r="C1" s="3" t="s">
        <v>2</v>
      </c>
      <c r="D1" s="4" t="s">
        <v>3</v>
      </c>
      <c r="E1" s="5" t="s">
        <v>4</v>
      </c>
      <c r="F1" s="6" t="s">
        <v>5</v>
      </c>
      <c r="G1" s="4" t="s">
        <v>6</v>
      </c>
      <c r="H1" s="7" t="s">
        <v>7</v>
      </c>
    </row>
    <row r="2" hidden="1">
      <c r="A2" s="1" t="s">
        <v>8</v>
      </c>
      <c r="B2" s="1" t="s">
        <v>9</v>
      </c>
      <c r="C2" s="8" t="s">
        <v>10</v>
      </c>
      <c r="D2" s="8" t="s">
        <v>11</v>
      </c>
      <c r="E2" s="9" t="s">
        <v>12</v>
      </c>
      <c r="F2" s="9" t="s">
        <v>13</v>
      </c>
      <c r="G2" s="8" t="s">
        <v>14</v>
      </c>
      <c r="H2" s="10" t="s">
        <v>15</v>
      </c>
      <c r="J2" s="8" t="str">
        <f>IFERROR(__xludf.DUMMYFUNCTION("IF(ISBLANK(F2),""NA"", VLOOKUP(F2,IMPORTRANGE(""https://docs.google.com/spreadsheets/d/1EdCvim__xyxvoo9WoburDTzYylznTCOJBHcnu7eurMw/edit?gid=15948134#gid=15948134"", ""Purpose!A1:B1000""),2,FALSE()))"),"to extract program construct idetifiers")</f>
        <v>to extract program construct idetifiers</v>
      </c>
      <c r="K2" s="8" t="str">
        <f>IFERROR(__xludf.DUMMYFUNCTION("IF(ISBLANK(E2),""NA"", VLOOKUP(E2,IMPORTRANGE(""https://docs.google.com/spreadsheets/d/1EdCvim__xyxvoo9WoburDTzYylznTCOJBHcnu7eurMw/edit?gid=15948134#gid=15948134"", ""Technique!A1:B2000""),2,FALSE()))"),"extract the methods using the AST")</f>
        <v>extract the methods using the AST</v>
      </c>
      <c r="L2" s="8" t="str">
        <f>IFERROR(__xludf.DUMMYFUNCTION("IF(ISBLANK(D2),""NA"", VLOOKUP(D2,IMPORTRANGE(""https://docs.google.com/spreadsheets/d/1EdCvim__xyxvoo9WoburDTzYylznTCOJBHcnu7eurMw/edit?gid=15948134#gid=15948134"", ""Input!A1:B2000""),2,FALSE()))"),"code data")</f>
        <v>code data</v>
      </c>
    </row>
    <row r="3" hidden="1">
      <c r="A3" s="1" t="s">
        <v>8</v>
      </c>
      <c r="B3" s="1">
        <v>8.0</v>
      </c>
      <c r="C3" s="8" t="s">
        <v>16</v>
      </c>
      <c r="D3" s="8" t="s">
        <v>17</v>
      </c>
      <c r="E3" s="10" t="s">
        <v>18</v>
      </c>
      <c r="F3" s="9" t="s">
        <v>19</v>
      </c>
      <c r="G3" s="8" t="s">
        <v>20</v>
      </c>
      <c r="H3" s="10" t="s">
        <v>15</v>
      </c>
      <c r="J3" s="8" t="str">
        <f>IFERROR(__xludf.DUMMYFUNCTION("IF(ISBLANK(F3),""NA"", VLOOKUP(F3,IMPORTRANGE(""https://docs.google.com/spreadsheets/d/1EdCvim__xyxvoo9WoburDTzYylznTCOJBHcnu7eurMw/edit?gid=15948134#gid=15948134"", ""Purpose!A1:B1000""),2,FALSE()))"),"to tokenize textual data")</f>
        <v>to tokenize textual data</v>
      </c>
      <c r="K3" s="8" t="str">
        <f>IFERROR(__xludf.DUMMYFUNCTION("IF(ISBLANK(E3),""NA"", VLOOKUP(E3,IMPORTRANGE(""https://docs.google.com/spreadsheets/d/1EdCvim__xyxvoo9WoburDTzYylznTCOJBHcnu7eurMw/edit?gid=15948134#gid=15948134"", ""Technique!A1:B2000""),2,FALSE()))"),"tokenize by capital letters and underscore code data + kept compund identifier")</f>
        <v>tokenize by capital letters and underscore code data + kept compund identifier</v>
      </c>
      <c r="L3" s="8" t="str">
        <f>IFERROR(__xludf.DUMMYFUNCTION("IF(ISBLANK(D3),""NA"", VLOOKUP(D3,IMPORTRANGE(""https://docs.google.com/spreadsheets/d/1EdCvim__xyxvoo9WoburDTzYylznTCOJBHcnu7eurMw/edit?gid=15948134#gid=15948134"", ""Input!A1:B2000""),2,FALSE()))"),"code data (identifiers)")</f>
        <v>code data (identifiers)</v>
      </c>
    </row>
    <row r="4" hidden="1">
      <c r="A4" s="1" t="s">
        <v>8</v>
      </c>
      <c r="B4" s="11">
        <v>40423.0</v>
      </c>
      <c r="C4" s="8" t="s">
        <v>16</v>
      </c>
      <c r="D4" s="8" t="s">
        <v>21</v>
      </c>
      <c r="E4" s="12" t="s">
        <v>22</v>
      </c>
      <c r="F4" s="9" t="s">
        <v>23</v>
      </c>
      <c r="G4" s="8" t="s">
        <v>20</v>
      </c>
      <c r="H4" s="10" t="s">
        <v>15</v>
      </c>
      <c r="J4" s="8" t="str">
        <f>IFERROR(__xludf.DUMMYFUNCTION("IF(ISBLANK(F4),""NA"", VLOOKUP(F4,IMPORTRANGE(""https://docs.google.com/spreadsheets/d/1EdCvim__xyxvoo9WoburDTzYylznTCOJBHcnu7eurMw/edit?gid=15948134#gid=15948134"", ""Purpose!A1:B1000""),2,FALSE()))"),"to tokenize code data")</f>
        <v>to tokenize code data</v>
      </c>
      <c r="K4" s="8" t="str">
        <f>IFERROR(__xludf.DUMMYFUNCTION("IF(ISBLANK(E4),""NA"", VLOOKUP(E4,IMPORTRANGE(""https://docs.google.com/spreadsheets/d/1EdCvim__xyxvoo9WoburDTzYylznTCOJBHcnu7eurMw/edit?gid=15948134#gid=15948134"", ""Technique!A1:B2000""),2,FALSE()))"),"remove punctuation")</f>
        <v>remove punctuation</v>
      </c>
      <c r="L4" s="8" t="str">
        <f>IFERROR(__xludf.DUMMYFUNCTION("IF(ISBLANK(D4),""NA"", VLOOKUP(D4,IMPORTRANGE(""https://docs.google.com/spreadsheets/d/1EdCvim__xyxvoo9WoburDTzYylznTCOJBHcnu7eurMw/edit?gid=15948134#gid=15948134"", ""Input!A1:B2000""),2,FALSE()))"),"code data (identifiers)")</f>
        <v>code data (identifiers)</v>
      </c>
    </row>
    <row r="5" hidden="1">
      <c r="A5" s="1" t="s">
        <v>8</v>
      </c>
      <c r="B5" s="1">
        <v>11.0</v>
      </c>
      <c r="C5" s="8" t="s">
        <v>16</v>
      </c>
      <c r="D5" s="8" t="s">
        <v>21</v>
      </c>
      <c r="E5" s="12" t="s">
        <v>24</v>
      </c>
      <c r="F5" s="9" t="s">
        <v>23</v>
      </c>
      <c r="G5" s="8" t="s">
        <v>20</v>
      </c>
      <c r="H5" s="10" t="s">
        <v>15</v>
      </c>
      <c r="J5" s="8" t="str">
        <f>IFERROR(__xludf.DUMMYFUNCTION("IF(ISBLANK(F5),""NA"", VLOOKUP(F5,IMPORTRANGE(""https://docs.google.com/spreadsheets/d/1EdCvim__xyxvoo9WoburDTzYylznTCOJBHcnu7eurMw/edit?gid=15948134#gid=15948134"", ""Purpose!A1:B1000""),2,FALSE()))"),"to tokenize code data")</f>
        <v>to tokenize code data</v>
      </c>
      <c r="K5" s="8" t="str">
        <f>IFERROR(__xludf.DUMMYFUNCTION("IF(ISBLANK(E5),""NA"", VLOOKUP(E5,IMPORTRANGE(""https://docs.google.com/spreadsheets/d/1EdCvim__xyxvoo9WoburDTzYylznTCOJBHcnu7eurMw/edit?gid=15948134#gid=15948134"", ""Technique!A1:B2000""),2,FALSE()))"),"extract identifiers from AST without language keywords")</f>
        <v>extract identifiers from AST without language keywords</v>
      </c>
      <c r="L5" s="8" t="str">
        <f>IFERROR(__xludf.DUMMYFUNCTION("IF(ISBLANK(D5),""NA"", VLOOKUP(D5,IMPORTRANGE(""https://docs.google.com/spreadsheets/d/1EdCvim__xyxvoo9WoburDTzYylznTCOJBHcnu7eurMw/edit?gid=15948134#gid=15948134"", ""Input!A1:B2000""),2,FALSE()))"),"code data (identifiers)")</f>
        <v>code data (identifiers)</v>
      </c>
    </row>
    <row r="6" hidden="1">
      <c r="A6" s="1" t="s">
        <v>8</v>
      </c>
      <c r="B6" s="1" t="s">
        <v>25</v>
      </c>
      <c r="C6" s="8" t="s">
        <v>26</v>
      </c>
      <c r="D6" s="8" t="s">
        <v>27</v>
      </c>
      <c r="E6" s="9" t="s">
        <v>28</v>
      </c>
      <c r="F6" s="13" t="s">
        <v>29</v>
      </c>
      <c r="G6" s="8" t="s">
        <v>14</v>
      </c>
      <c r="H6" s="10" t="s">
        <v>15</v>
      </c>
      <c r="J6" s="8" t="str">
        <f>IFERROR(__xludf.DUMMYFUNCTION("IF(ISBLANK(F6),""NA"", VLOOKUP(F6,IMPORTRANGE(""https://docs.google.com/spreadsheets/d/1EdCvim__xyxvoo9WoburDTzYylznTCOJBHcnu7eurMw/edit?gid=15948134#gid=15948134"", ""Purpose!A1:B1000""),2,FALSE()))"),"to train a model for localization tasks (i.e., bugs)")</f>
        <v>to train a model for localization tasks (i.e., bugs)</v>
      </c>
      <c r="K6" s="8" t="str">
        <f>IFERROR(__xludf.DUMMYFUNCTION("IF(ISBLANK(E6),""NA"", VLOOKUP(E6,IMPORTRANGE(""https://docs.google.com/spreadsheets/d/1EdCvim__xyxvoo9WoburDTzYylznTCOJBHcnu7eurMw/edit?gid=15948134#gid=15948134"", ""Technique!A1:B2000""),2,FALSE()))"),"use BM25 + tf-idf representation")</f>
        <v>use BM25 + tf-idf representation</v>
      </c>
      <c r="L6" s="8" t="str">
        <f>IFERROR(__xludf.DUMMYFUNCTION("IF(ISBLANK(D6),""NA"", VLOOKUP(D6,IMPORTRANGE(""https://docs.google.com/spreadsheets/d/1EdCvim__xyxvoo9WoburDTzYylznTCOJBHcnu7eurMw/edit?gid=15948134#gid=15948134"", ""Input!A1:B2000""),2,FALSE()))"),"textual data (i.e., NLP) + textual data (i.e., code data)")</f>
        <v>textual data (i.e., NLP) + textual data (i.e., code data)</v>
      </c>
    </row>
    <row r="7" hidden="1">
      <c r="A7" s="1" t="s">
        <v>8</v>
      </c>
      <c r="B7" s="1">
        <v>13.0</v>
      </c>
      <c r="C7" s="8" t="s">
        <v>30</v>
      </c>
      <c r="D7" s="8" t="s">
        <v>31</v>
      </c>
      <c r="E7" s="12" t="s">
        <v>32</v>
      </c>
      <c r="F7" s="8" t="s">
        <v>33</v>
      </c>
      <c r="G7" s="8" t="s">
        <v>20</v>
      </c>
      <c r="H7" s="10" t="s">
        <v>15</v>
      </c>
      <c r="J7" s="8" t="str">
        <f>IFERROR(__xludf.DUMMYFUNCTION("IF(ISBLANK(F7),""NA"", VLOOKUP(F7,IMPORTRANGE(""https://docs.google.com/spreadsheets/d/1EdCvim__xyxvoo9WoburDTzYylznTCOJBHcnu7eurMw/edit?gid=15948134#gid=15948134"", ""Purpose!A1:B1000""),2,FALSE()))"),"")</f>
        <v/>
      </c>
      <c r="K7" s="8" t="str">
        <f>IFERROR(__xludf.DUMMYFUNCTION("IF(ISBLANK(E7),""NA"", VLOOKUP(E7,IMPORTRANGE(""https://docs.google.com/spreadsheets/d/1EdCvim__xyxvoo9WoburDTzYylznTCOJBHcnu7eurMw/edit?gid=15948134#gid=15948134"", ""Technique!A1:B2000""),2,FALSE()))"),"split data into train and validation data")</f>
        <v>split data into train and validation data</v>
      </c>
      <c r="L7" s="8" t="str">
        <f>IFERROR(__xludf.DUMMYFUNCTION("IF(ISBLANK(D7),""NA"", VLOOKUP(D7,IMPORTRANGE(""https://docs.google.com/spreadsheets/d/1EdCvim__xyxvoo9WoburDTzYylznTCOJBHcnu7eurMw/edit?gid=15948134#gid=15948134"", ""Input!A1:B2000""),2,FALSE()))"),"existing datasets")</f>
        <v>existing datasets</v>
      </c>
    </row>
    <row r="8" hidden="1">
      <c r="A8" s="1" t="s">
        <v>8</v>
      </c>
      <c r="B8" s="1" t="s">
        <v>34</v>
      </c>
      <c r="C8" s="8" t="s">
        <v>35</v>
      </c>
      <c r="D8" s="8" t="s">
        <v>36</v>
      </c>
      <c r="E8" s="9" t="s">
        <v>37</v>
      </c>
      <c r="F8" s="9" t="s">
        <v>38</v>
      </c>
      <c r="G8" s="8" t="s">
        <v>39</v>
      </c>
      <c r="H8" s="10" t="s">
        <v>15</v>
      </c>
      <c r="J8" s="8" t="str">
        <f>IFERROR(__xludf.DUMMYFUNCTION("IF(ISBLANK(F8),""NA"", VLOOKUP(F8,IMPORTRANGE(""https://docs.google.com/spreadsheets/d/1EdCvim__xyxvoo9WoburDTzYylznTCOJBHcnu7eurMw/edit?gid=15948134#gid=15948134"", ""Purpose!A1:B1000""),2,FALSE()))"),"to evaluate model(s) functionally (e.g., accuracy)")</f>
        <v>to evaluate model(s) functionally (e.g., accuracy)</v>
      </c>
      <c r="K8" s="8" t="str">
        <f>IFERROR(__xludf.DUMMYFUNCTION("IF(ISBLANK(E8),""NA"", VLOOKUP(E8,IMPORTRANGE(""https://docs.google.com/spreadsheets/d/1EdCvim__xyxvoo9WoburDTzYylznTCOJBHcnu7eurMw/edit?gid=15948134#gid=15948134"", ""Technique!A1:B2000""),2,FALSE()))"),"compute metrics (i.e., recall@N, mean reciprocal rank, mean average precision)")</f>
        <v>compute metrics (i.e., recall@N, mean reciprocal rank, mean average precision)</v>
      </c>
      <c r="L8" s="8" t="str">
        <f>IFERROR(__xludf.DUMMYFUNCTION("IF(ISBLANK(D8),""NA"", VLOOKUP(D8,IMPORTRANGE(""https://docs.google.com/spreadsheets/d/1EdCvim__xyxvoo9WoburDTzYylznTCOJBHcnu7eurMw/edit?gid=15948134#gid=15948134"", ""Input!A1:B2000""),2,FALSE()))"),"Information retrieval model(s)")</f>
        <v>Information retrieval model(s)</v>
      </c>
    </row>
    <row r="9" hidden="1">
      <c r="A9" s="1" t="s">
        <v>8</v>
      </c>
      <c r="B9" s="1">
        <v>4.0</v>
      </c>
      <c r="C9" s="1" t="s">
        <v>40</v>
      </c>
      <c r="D9" s="1" t="s">
        <v>41</v>
      </c>
      <c r="E9" s="14" t="s">
        <v>42</v>
      </c>
      <c r="F9" s="14" t="s">
        <v>43</v>
      </c>
      <c r="G9" s="1" t="s">
        <v>44</v>
      </c>
      <c r="H9" s="15" t="s">
        <v>15</v>
      </c>
      <c r="J9" s="8" t="str">
        <f>IFERROR(__xludf.DUMMYFUNCTION("IF(ISBLANK(F9),""NA"", VLOOKUP(F9,IMPORTRANGE(""https://docs.google.com/spreadsheets/d/1EdCvim__xyxvoo9WoburDTzYylznTCOJBHcnu7eurMw/edit?gid=15948134#gid=15948134"", ""Purpose!A1:B1000""),2,FALSE()))"),"to collect data")</f>
        <v>to collect data</v>
      </c>
      <c r="K9" s="8" t="str">
        <f>IFERROR(__xludf.DUMMYFUNCTION("IF(ISBLANK(E9),""NA"", VLOOKUP(E9,IMPORTRANGE(""https://docs.google.com/spreadsheets/d/1EdCvim__xyxvoo9WoburDTzYylznTCOJBHcnu7eurMw/edit?gid=15948134#gid=15948134"", ""Technique!A1:B2000""),2,FALSE()))"),"collect own data from open-source projects, popular ones")</f>
        <v>collect own data from open-source projects, popular ones</v>
      </c>
      <c r="L9" s="8" t="str">
        <f>IFERROR(__xludf.DUMMYFUNCTION("IF(ISBLANK(D9),""NA"", VLOOKUP(D9,IMPORTRANGE(""https://docs.google.com/spreadsheets/d/1EdCvim__xyxvoo9WoburDTzYylznTCOJBHcnu7eurMw/edit?gid=15948134#gid=15948134"", ""Input!A1:B2000""),2,FALSE()))"),"code data (open source)")</f>
        <v>code data (open source)</v>
      </c>
    </row>
    <row r="10" hidden="1">
      <c r="A10" s="1" t="s">
        <v>8</v>
      </c>
      <c r="B10" s="1">
        <v>2.0</v>
      </c>
      <c r="C10" s="8" t="s">
        <v>45</v>
      </c>
      <c r="D10" s="1" t="s">
        <v>11</v>
      </c>
      <c r="E10" s="16" t="s">
        <v>46</v>
      </c>
      <c r="F10" s="14" t="s">
        <v>47</v>
      </c>
      <c r="G10" s="1" t="s">
        <v>20</v>
      </c>
      <c r="H10" s="15" t="s">
        <v>15</v>
      </c>
      <c r="J10" s="8" t="str">
        <f>IFERROR(__xludf.DUMMYFUNCTION("IF(ISBLANK(F10),""NA"", VLOOKUP(F10,IMPORTRANGE(""https://docs.google.com/spreadsheets/d/1EdCvim__xyxvoo9WoburDTzYylznTCOJBHcnu7eurMw/edit?gid=15948134#gid=15948134"", ""Purpose!A1:B1000""),2,FALSE()))"),"to transform the data into the required input")</f>
        <v>to transform the data into the required input</v>
      </c>
      <c r="K10" s="8" t="str">
        <f>IFERROR(__xludf.DUMMYFUNCTION("IF(ISBLANK(E10),""NA"", VLOOKUP(E10,IMPORTRANGE(""https://docs.google.com/spreadsheets/d/1EdCvim__xyxvoo9WoburDTzYylznTCOJBHcnu7eurMw/edit?gid=15948134#gid=15948134"", ""Technique!A1:B2000""),2,FALSE()))"),"apply stemming, Krovetz || apply stemming, Porter || no appls stemming ")</f>
        <v>apply stemming, Krovetz || apply stemming, Porter || no appls stemming </v>
      </c>
      <c r="L10" s="8" t="str">
        <f>IFERROR(__xludf.DUMMYFUNCTION("IF(ISBLANK(D10),""NA"", VLOOKUP(D10,IMPORTRANGE(""https://docs.google.com/spreadsheets/d/1EdCvim__xyxvoo9WoburDTzYylznTCOJBHcnu7eurMw/edit?gid=15948134#gid=15948134"", ""Input!A1:B2000""),2,FALSE()))"),"code data")</f>
        <v>code data</v>
      </c>
    </row>
    <row r="11" hidden="1">
      <c r="A11" s="1" t="s">
        <v>8</v>
      </c>
      <c r="B11" s="1">
        <v>15.0</v>
      </c>
      <c r="C11" s="8" t="s">
        <v>45</v>
      </c>
      <c r="D11" s="8" t="s">
        <v>48</v>
      </c>
      <c r="E11" s="12" t="s">
        <v>49</v>
      </c>
      <c r="F11" s="9" t="s">
        <v>50</v>
      </c>
      <c r="G11" s="1" t="s">
        <v>39</v>
      </c>
      <c r="H11" s="10" t="s">
        <v>15</v>
      </c>
      <c r="J11" s="8" t="str">
        <f>IFERROR(__xludf.DUMMYFUNCTION("IF(ISBLANK(F11),""NA"", VLOOKUP(F11,IMPORTRANGE(""https://docs.google.com/spreadsheets/d/1EdCvim__xyxvoo9WoburDTzYylznTCOJBHcnu7eurMw/edit?gid=15948134#gid=15948134"", ""Purpose!A1:B1000""),2,FALSE()))"),"to select an optimum stemmer")</f>
        <v>to select an optimum stemmer</v>
      </c>
      <c r="K11" s="8" t="str">
        <f>IFERROR(__xludf.DUMMYFUNCTION("IF(ISBLANK(E11),""NA"", VLOOKUP(E11,IMPORTRANGE(""https://docs.google.com/spreadsheets/d/1EdCvim__xyxvoo9WoburDTzYylznTCOJBHcnu7eurMw/edit?gid=15948134#gid=15948134"", ""Technique!A1:B2000""),2,FALSE()))"),"train a model in a specific programming language")</f>
        <v>train a model in a specific programming language</v>
      </c>
      <c r="L11" s="8" t="str">
        <f>IFERROR(__xludf.DUMMYFUNCTION("IF(ISBLANK(D11),""NA"", VLOOKUP(D11,IMPORTRANGE(""https://docs.google.com/spreadsheets/d/1EdCvim__xyxvoo9WoburDTzYylznTCOJBHcnu7eurMw/edit?gid=15948134#gid=15948134"", ""Input!A1:B2000""),2,FALSE()))"),"data + model(s) + stemmers")</f>
        <v>data + model(s) + stemmers</v>
      </c>
    </row>
    <row r="12" hidden="1">
      <c r="A12" s="1" t="s">
        <v>8</v>
      </c>
      <c r="B12" s="1">
        <v>16.0</v>
      </c>
      <c r="C12" s="8" t="s">
        <v>45</v>
      </c>
      <c r="D12" s="8" t="s">
        <v>51</v>
      </c>
      <c r="E12" s="12" t="s">
        <v>52</v>
      </c>
      <c r="F12" s="9" t="s">
        <v>53</v>
      </c>
      <c r="G12" s="8" t="s">
        <v>54</v>
      </c>
      <c r="H12" s="10" t="s">
        <v>15</v>
      </c>
      <c r="J12" s="8" t="str">
        <f>IFERROR(__xludf.DUMMYFUNCTION("IF(ISBLANK(F12),""NA"", VLOOKUP(F12,IMPORTRANGE(""https://docs.google.com/spreadsheets/d/1EdCvim__xyxvoo9WoburDTzYylznTCOJBHcnu7eurMw/edit?gid=15948134#gid=15948134"", ""Purpose!A1:B1000""),2,FALSE()))"),"to find the best parameters")</f>
        <v>to find the best parameters</v>
      </c>
      <c r="K12" s="8" t="str">
        <f>IFERROR(__xludf.DUMMYFUNCTION("IF(ISBLANK(E12),""NA"", VLOOKUP(E12,IMPORTRANGE(""https://docs.google.com/spreadsheets/d/1EdCvim__xyxvoo9WoburDTzYylznTCOJBHcnu7eurMw/edit?gid=15948134#gid=15948134"", ""Technique!A1:B2000""),2,FALSE()))"),"grid search")</f>
        <v>grid search</v>
      </c>
      <c r="L12" s="8" t="str">
        <f>IFERROR(__xludf.DUMMYFUNCTION("IF(ISBLANK(D12),""NA"", VLOOKUP(D12,IMPORTRANGE(""https://docs.google.com/spreadsheets/d/1EdCvim__xyxvoo9WoburDTzYylznTCOJBHcnu7eurMw/edit?gid=15948134#gid=15948134"", ""Input!A1:B2000""),2,FALSE()))"),"ranking model(s)")</f>
        <v>ranking model(s)</v>
      </c>
    </row>
    <row r="13" hidden="1">
      <c r="A13" s="1" t="s">
        <v>8</v>
      </c>
      <c r="B13" s="1">
        <v>17.0</v>
      </c>
      <c r="C13" s="8" t="s">
        <v>55</v>
      </c>
      <c r="D13" s="8" t="s">
        <v>56</v>
      </c>
      <c r="E13" s="14" t="s">
        <v>57</v>
      </c>
      <c r="F13" s="9" t="s">
        <v>58</v>
      </c>
      <c r="G13" s="8" t="s">
        <v>39</v>
      </c>
      <c r="H13" s="10" t="s">
        <v>15</v>
      </c>
      <c r="J13" s="8" t="str">
        <f>IFERROR(__xludf.DUMMYFUNCTION("IF(ISBLANK(F13),""NA"", VLOOKUP(F13,IMPORTRANGE(""https://docs.google.com/spreadsheets/d/1EdCvim__xyxvoo9WoburDTzYylznTCOJBHcnu7eurMw/edit?gid=15948134#gid=15948134"", ""Purpose!A1:B1000""),2,FALSE()))"),"to understand how different features affect the model results")</f>
        <v>to understand how different features affect the model results</v>
      </c>
      <c r="K13" s="8" t="str">
        <f>IFERROR(__xludf.DUMMYFUNCTION("IF(ISBLANK(E13),""NA"", VLOOKUP(E13,IMPORTRANGE(""https://docs.google.com/spreadsheets/d/1EdCvim__xyxvoo9WoburDTzYylznTCOJBHcnu7eurMw/edit?gid=15948134#gid=15948134"", ""Technique!A1:B2000""),2,FALSE()))"),"ablation study (vary features used)")</f>
        <v>ablation study (vary features used)</v>
      </c>
      <c r="L13" s="8" t="str">
        <f>IFERROR(__xludf.DUMMYFUNCTION("IF(ISBLANK(D13),""NA"", VLOOKUP(D13,IMPORTRANGE(""https://docs.google.com/spreadsheets/d/1EdCvim__xyxvoo9WoburDTzYylznTCOJBHcnu7eurMw/edit?gid=15948134#gid=15948134"", ""Input!A1:B2000""),2,FALSE()))"),"ranking model(s) + model features")</f>
        <v>ranking model(s) + model features</v>
      </c>
    </row>
    <row r="14" hidden="1">
      <c r="A14" s="1" t="s">
        <v>8</v>
      </c>
      <c r="B14" s="1" t="s">
        <v>59</v>
      </c>
      <c r="C14" s="8" t="s">
        <v>60</v>
      </c>
      <c r="D14" s="8" t="s">
        <v>61</v>
      </c>
      <c r="E14" s="1" t="s">
        <v>62</v>
      </c>
      <c r="F14" s="9" t="s">
        <v>63</v>
      </c>
      <c r="G14" s="8" t="s">
        <v>39</v>
      </c>
      <c r="H14" s="10" t="s">
        <v>15</v>
      </c>
      <c r="J14" s="8" t="str">
        <f>IFERROR(__xludf.DUMMYFUNCTION("IF(ISBLANK(F14),""NA"", VLOOKUP(F14,IMPORTRANGE(""https://docs.google.com/spreadsheets/d/1EdCvim__xyxvoo9WoburDTzYylznTCOJBHcnu7eurMw/edit?gid=15948134#gid=15948134"", ""Purpose!A1:B1000""),2,FALSE()))"),"to evaluate model(s) functionally (e.g., accuracy) against others")</f>
        <v>to evaluate model(s) functionally (e.g., accuracy) against others</v>
      </c>
      <c r="K14" s="8" t="str">
        <f>IFERROR(__xludf.DUMMYFUNCTION("IF(ISBLANK(E14),""NA"", VLOOKUP(E14,IMPORTRANGE(""https://docs.google.com/spreadsheets/d/1EdCvim__xyxvoo9WoburDTzYylznTCOJBHcnu7eurMw/edit?gid=15948134#gid=15948134"", ""Technique!A1:B2000""),2,FALSE()))"),"compare directly with other approaches (no statistical tests), baselines shallow learning (buglocator)")</f>
        <v>compare directly with other approaches (no statistical tests), baselines shallow learning (buglocator)</v>
      </c>
      <c r="L14" s="8" t="str">
        <f>IFERROR(__xludf.DUMMYFUNCTION("IF(ISBLANK(D14),""NA"", VLOOKUP(D14,IMPORTRANGE(""https://docs.google.com/spreadsheets/d/1EdCvim__xyxvoo9WoburDTzYylznTCOJBHcnu7eurMw/edit?gid=15948134#gid=15948134"", ""Input!A1:B2000""),2,FALSE()))"),"computed metrics of multiple models")</f>
        <v>computed metrics of multiple models</v>
      </c>
    </row>
    <row r="15">
      <c r="A15" s="1" t="s">
        <v>64</v>
      </c>
      <c r="B15" s="1">
        <v>10.0</v>
      </c>
      <c r="C15" s="1" t="s">
        <v>65</v>
      </c>
      <c r="D15" s="1" t="s">
        <v>66</v>
      </c>
      <c r="E15" s="14" t="s">
        <v>67</v>
      </c>
      <c r="F15" s="14" t="s">
        <v>68</v>
      </c>
      <c r="G15" s="1" t="s">
        <v>14</v>
      </c>
      <c r="H15" s="15" t="s">
        <v>69</v>
      </c>
      <c r="J15" s="8" t="str">
        <f>IFERROR(__xludf.DUMMYFUNCTION("IF(ISBLANK(F15),""NA"", VLOOKUP(F15,IMPORTRANGE(""https://docs.google.com/spreadsheets/d/1EdCvim__xyxvoo9WoburDTzYylznTCOJBHcnu7eurMw/edit?gid=15948134#gid=15948134"", ""Purpose!A1:B1000""),2,FALSE()))"),"to encode code data as structural information metrics")</f>
        <v>to encode code data as structural information metrics</v>
      </c>
      <c r="K15" s="8" t="str">
        <f>IFERROR(__xludf.DUMMYFUNCTION("IF(ISBLANK(E15),""NA"", VLOOKUP(E15,IMPORTRANGE(""https://docs.google.com/spreadsheets/d/1EdCvim__xyxvoo9WoburDTzYylznTCOJBHcnu7eurMw/edit?gid=15948134#gid=15948134"", ""Technique!A1:B2000""),2,FALSE()))"),"feature engineering, compute metrics (i.e., distance metrics (Tsantalis and Chatzigeorgiou))")</f>
        <v>feature engineering, compute metrics (i.e., distance metrics (Tsantalis and Chatzigeorgiou))</v>
      </c>
      <c r="L15" s="8" t="str">
        <f>IFERROR(__xludf.DUMMYFUNCTION("IF(ISBLANK(D15),""NA"", VLOOKUP(D15,IMPORTRANGE(""https://docs.google.com/spreadsheets/d/1EdCvim__xyxvoo9WoburDTzYylznTCOJBHcnu7eurMw/edit?gid=15948134#gid=15948134"", ""Input!A1:B2000""),2,FALSE()))"),"code data (method and class information)")</f>
        <v>code data (method and class information)</v>
      </c>
    </row>
    <row r="16">
      <c r="A16" s="1" t="s">
        <v>64</v>
      </c>
      <c r="B16" s="1">
        <v>11.0</v>
      </c>
      <c r="C16" s="1" t="s">
        <v>65</v>
      </c>
      <c r="D16" s="1" t="s">
        <v>33</v>
      </c>
      <c r="E16" s="14" t="s">
        <v>70</v>
      </c>
      <c r="F16" s="14" t="s">
        <v>71</v>
      </c>
      <c r="G16" s="1" t="s">
        <v>14</v>
      </c>
      <c r="H16" s="15" t="s">
        <v>69</v>
      </c>
      <c r="J16" s="8" t="str">
        <f>IFERROR(__xludf.DUMMYFUNCTION("IF(ISBLANK(F16),""NA"", VLOOKUP(F16,IMPORTRANGE(""https://docs.google.com/spreadsheets/d/1EdCvim__xyxvoo9WoburDTzYylznTCOJBHcnu7eurMw/edit?gid=15948134#gid=15948134"", ""Purpose!A1:B1000""),2,FALSE()))"),"to select features")</f>
        <v>to select features</v>
      </c>
      <c r="K16" s="8" t="str">
        <f>IFERROR(__xludf.DUMMYFUNCTION("IF(ISBLANK(E16),""NA"", VLOOKUP(E16,IMPORTRANGE(""https://docs.google.com/spreadsheets/d/1EdCvim__xyxvoo9WoburDTzYylznTCOJBHcnu7eurMw/edit?gid=15948134#gid=15948134"", ""Technique!A1:B2000""),2,FALSE()))"),"select features based on results on prior studies")</f>
        <v>select features based on results on prior studies</v>
      </c>
      <c r="L16" s="8" t="str">
        <f>IFERROR(__xludf.DUMMYFUNCTION("IF(ISBLANK(D16),""NA"", VLOOKUP(D16,IMPORTRANGE(""https://docs.google.com/spreadsheets/d/1EdCvim__xyxvoo9WoburDTzYylznTCOJBHcnu7eurMw/edit?gid=15948134#gid=15948134"", ""Input!A1:B2000""),2,FALSE()))"),"")</f>
        <v/>
      </c>
    </row>
    <row r="17">
      <c r="A17" s="1" t="s">
        <v>64</v>
      </c>
      <c r="B17" s="1">
        <v>12.0</v>
      </c>
      <c r="C17" s="1" t="s">
        <v>65</v>
      </c>
      <c r="D17" s="13" t="s">
        <v>66</v>
      </c>
      <c r="E17" s="16" t="s">
        <v>72</v>
      </c>
      <c r="F17" s="14" t="s">
        <v>73</v>
      </c>
      <c r="G17" s="1" t="s">
        <v>54</v>
      </c>
      <c r="H17" s="15" t="s">
        <v>69</v>
      </c>
      <c r="J17" s="8" t="str">
        <f>IFERROR(__xludf.DUMMYFUNCTION("IF(ISBLANK(F17),""NA"", VLOOKUP(F17,IMPORTRANGE(""https://docs.google.com/spreadsheets/d/1EdCvim__xyxvoo9WoburDTzYylznTCOJBHcnu7eurMw/edit?gid=15948134#gid=15948134"", ""Purpose!A1:B1000""),2,FALSE()))"),"to train a model for detection tasks (i.e., envy feature detection)")</f>
        <v>to train a model for detection tasks (i.e., envy feature detection)</v>
      </c>
      <c r="K17" s="8" t="str">
        <f>IFERROR(__xludf.DUMMYFUNCTION("IF(ISBLANK(E17),""NA"", VLOOKUP(E17,IMPORTRANGE(""https://docs.google.com/spreadsheets/d/1EdCvim__xyxvoo9WoburDTzYylznTCOJBHcnu7eurMw/edit?gid=15948134#gid=15948134"", ""Technique!A1:B2000""),2,FALSE()))"),"feature engineering, compute metrics (i.e., structual metrics (code metrics)) + textual information")</f>
        <v>feature engineering, compute metrics (i.e., structual metrics (code metrics)) + textual information</v>
      </c>
      <c r="L17" s="8" t="str">
        <f>IFERROR(__xludf.DUMMYFUNCTION("IF(ISBLANK(D17),""NA"", VLOOKUP(D17,IMPORTRANGE(""https://docs.google.com/spreadsheets/d/1EdCvim__xyxvoo9WoburDTzYylznTCOJBHcnu7eurMw/edit?gid=15948134#gid=15948134"", ""Input!A1:B2000""),2,FALSE()))"),"code data (method and class information)")</f>
        <v>code data (method and class information)</v>
      </c>
    </row>
    <row r="18">
      <c r="A18" s="1" t="s">
        <v>64</v>
      </c>
      <c r="B18" s="1" t="s">
        <v>74</v>
      </c>
      <c r="C18" s="1" t="s">
        <v>75</v>
      </c>
      <c r="D18" s="1" t="s">
        <v>76</v>
      </c>
      <c r="E18" s="14" t="s">
        <v>77</v>
      </c>
      <c r="F18" s="14" t="s">
        <v>78</v>
      </c>
      <c r="G18" s="1" t="s">
        <v>14</v>
      </c>
      <c r="H18" s="15" t="s">
        <v>69</v>
      </c>
      <c r="J18" s="8" t="str">
        <f>IFERROR(__xludf.DUMMYFUNCTION("IF(ISBLANK(F18),""NA"", VLOOKUP(F18,IMPORTRANGE(""https://docs.google.com/spreadsheets/d/1EdCvim__xyxvoo9WoburDTzYylznTCOJBHcnu7eurMw/edit?gid=15948134#gid=15948134"", ""Purpose!A1:B1000""),2,FALSE()))"),"to embed textual data into numerical vectors")</f>
        <v>to embed textual data into numerical vectors</v>
      </c>
      <c r="K18" s="8" t="str">
        <f>IFERROR(__xludf.DUMMYFUNCTION("IF(ISBLANK(E18),""NA"", VLOOKUP(E18,IMPORTRANGE(""https://docs.google.com/spreadsheets/d/1EdCvim__xyxvoo9WoburDTzYylznTCOJBHcnu7eurMw/edit?gid=15948134#gid=15948134"", ""Technique!A1:B2000""),2,FALSE()))"),"use embeddings, Word2vec")</f>
        <v>use embeddings, Word2vec</v>
      </c>
      <c r="L18" s="8" t="str">
        <f>IFERROR(__xludf.DUMMYFUNCTION("IF(ISBLANK(D18),""NA"", VLOOKUP(D18,IMPORTRANGE(""https://docs.google.com/spreadsheets/d/1EdCvim__xyxvoo9WoburDTzYylznTCOJBHcnu7eurMw/edit?gid=15948134#gid=15948134"", ""Input!A1:B2000""),2,FALSE()))"),"code data (identifiers)")</f>
        <v>code data (identifiers)</v>
      </c>
    </row>
    <row r="19">
      <c r="A19" s="1" t="s">
        <v>64</v>
      </c>
      <c r="B19" s="1" t="s">
        <v>79</v>
      </c>
      <c r="C19" s="1" t="s">
        <v>75</v>
      </c>
      <c r="D19" s="1" t="s">
        <v>76</v>
      </c>
      <c r="E19" s="14" t="s">
        <v>80</v>
      </c>
      <c r="F19" s="1" t="s">
        <v>33</v>
      </c>
      <c r="G19" s="1" t="s">
        <v>14</v>
      </c>
      <c r="H19" s="15" t="s">
        <v>69</v>
      </c>
      <c r="J19" s="8" t="str">
        <f>IFERROR(__xludf.DUMMYFUNCTION("IF(ISBLANK(F19),""NA"", VLOOKUP(F19,IMPORTRANGE(""https://docs.google.com/spreadsheets/d/1EdCvim__xyxvoo9WoburDTzYylznTCOJBHcnu7eurMw/edit?gid=15948134#gid=15948134"", ""Purpose!A1:B1000""),2,FALSE()))"),"")</f>
        <v/>
      </c>
      <c r="K19" s="8" t="str">
        <f>IFERROR(__xludf.DUMMYFUNCTION("IF(ISBLANK(E19),""NA"", VLOOKUP(E19,IMPORTRANGE(""https://docs.google.com/spreadsheets/d/1EdCvim__xyxvoo9WoburDTzYylznTCOJBHcnu7eurMw/edit?gid=15948134#gid=15948134"", ""Technique!A1:B2000""),2,FALSE()))"),"tokenize by capital letters and underscore code data")</f>
        <v>tokenize by capital letters and underscore code data</v>
      </c>
      <c r="L19" s="8" t="str">
        <f>IFERROR(__xludf.DUMMYFUNCTION("IF(ISBLANK(D19),""NA"", VLOOKUP(D19,IMPORTRANGE(""https://docs.google.com/spreadsheets/d/1EdCvim__xyxvoo9WoburDTzYylznTCOJBHcnu7eurMw/edit?gid=15948134#gid=15948134"", ""Input!A1:B2000""),2,FALSE()))"),"code data (identifiers)")</f>
        <v>code data (identifiers)</v>
      </c>
    </row>
    <row r="20">
      <c r="A20" s="1" t="s">
        <v>64</v>
      </c>
      <c r="B20" s="1" t="s">
        <v>81</v>
      </c>
      <c r="C20" s="1" t="s">
        <v>75</v>
      </c>
      <c r="D20" s="1" t="s">
        <v>82</v>
      </c>
      <c r="E20" s="14" t="s">
        <v>83</v>
      </c>
      <c r="F20" s="1" t="s">
        <v>33</v>
      </c>
      <c r="G20" s="1" t="s">
        <v>14</v>
      </c>
      <c r="H20" s="15" t="s">
        <v>69</v>
      </c>
      <c r="J20" s="8" t="str">
        <f>IFERROR(__xludf.DUMMYFUNCTION("IF(ISBLANK(F20),""NA"", VLOOKUP(F20,IMPORTRANGE(""https://docs.google.com/spreadsheets/d/1EdCvim__xyxvoo9WoburDTzYylznTCOJBHcnu7eurMw/edit?gid=15948134#gid=15948134"", ""Purpose!A1:B1000""),2,FALSE()))"),"")</f>
        <v/>
      </c>
      <c r="K20" s="8" t="str">
        <f>IFERROR(__xludf.DUMMYFUNCTION("IF(ISBLANK(E20),""NA"", VLOOKUP(E20,IMPORTRANGE(""https://docs.google.com/spreadsheets/d/1EdCvim__xyxvoo9WoburDTzYylznTCOJBHcnu7eurMw/edit?gid=15948134#gid=15948134"", ""Technique!A1:B2000""),2,FALSE()))"),"truncate instances with a length greater than X")</f>
        <v>truncate instances with a length greater than X</v>
      </c>
      <c r="L20" s="8" t="str">
        <f>IFERROR(__xludf.DUMMYFUNCTION("IF(ISBLANK(D20),""NA"", VLOOKUP(D20,IMPORTRANGE(""https://docs.google.com/spreadsheets/d/1EdCvim__xyxvoo9WoburDTzYylznTCOJBHcnu7eurMw/edit?gid=15948134#gid=15948134"", ""Input!A1:B2000""),2,FALSE()))"),"code data (pre-processed identifiers)")</f>
        <v>code data (pre-processed identifiers)</v>
      </c>
    </row>
    <row r="21">
      <c r="A21" s="1" t="s">
        <v>64</v>
      </c>
      <c r="B21" s="1">
        <v>16.0</v>
      </c>
      <c r="C21" s="1" t="s">
        <v>75</v>
      </c>
      <c r="D21" s="1" t="s">
        <v>82</v>
      </c>
      <c r="E21" s="14" t="s">
        <v>84</v>
      </c>
      <c r="F21" s="1" t="s">
        <v>33</v>
      </c>
      <c r="G21" s="1" t="s">
        <v>14</v>
      </c>
      <c r="H21" s="15" t="s">
        <v>69</v>
      </c>
      <c r="J21" s="8" t="str">
        <f>IFERROR(__xludf.DUMMYFUNCTION("IF(ISBLANK(F21),""NA"", VLOOKUP(F21,IMPORTRANGE(""https://docs.google.com/spreadsheets/d/1EdCvim__xyxvoo9WoburDTzYylznTCOJBHcnu7eurMw/edit?gid=15948134#gid=15948134"", ""Purpose!A1:B1000""),2,FALSE()))"),"")</f>
        <v/>
      </c>
      <c r="K21" s="8" t="str">
        <f>IFERROR(__xludf.DUMMYFUNCTION("IF(ISBLANK(E21),""NA"", VLOOKUP(E21,IMPORTRANGE(""https://docs.google.com/spreadsheets/d/1EdCvim__xyxvoo9WoburDTzYylznTCOJBHcnu7eurMw/edit?gid=15948134#gid=15948134"", ""Technique!A1:B2000""),2,FALSE()))"),"padding (i.e., add 0 at the end)")</f>
        <v>padding (i.e., add 0 at the end)</v>
      </c>
      <c r="L21" s="8" t="str">
        <f>IFERROR(__xludf.DUMMYFUNCTION("IF(ISBLANK(D21),""NA"", VLOOKUP(D21,IMPORTRANGE(""https://docs.google.com/spreadsheets/d/1EdCvim__xyxvoo9WoburDTzYylznTCOJBHcnu7eurMw/edit?gid=15948134#gid=15948134"", ""Input!A1:B2000""),2,FALSE()))"),"code data (pre-processed identifiers)")</f>
        <v>code data (pre-processed identifiers)</v>
      </c>
    </row>
    <row r="22">
      <c r="A22" s="1" t="s">
        <v>64</v>
      </c>
      <c r="B22" s="1">
        <v>17.0</v>
      </c>
      <c r="C22" s="1" t="s">
        <v>75</v>
      </c>
      <c r="D22" s="1" t="s">
        <v>33</v>
      </c>
      <c r="E22" s="16" t="s">
        <v>85</v>
      </c>
      <c r="F22" s="14" t="s">
        <v>86</v>
      </c>
      <c r="G22" s="1" t="s">
        <v>54</v>
      </c>
      <c r="H22" s="15" t="s">
        <v>69</v>
      </c>
      <c r="J22" s="8" t="str">
        <f>IFERROR(__xludf.DUMMYFUNCTION("IF(ISBLANK(F22),""NA"", VLOOKUP(F22,IMPORTRANGE(""https://docs.google.com/spreadsheets/d/1EdCvim__xyxvoo9WoburDTzYylznTCOJBHcnu7eurMw/edit?gid=15948134#gid=15948134"", ""Purpose!A1:B1000""),2,FALSE()))"),"to train a model for detection tasks (i.e., envy feature detection)")</f>
        <v>to train a model for detection tasks (i.e., envy feature detection)</v>
      </c>
      <c r="K22" s="8" t="str">
        <f>IFERROR(__xludf.DUMMYFUNCTION("IF(ISBLANK(E22),""NA"", VLOOKUP(E22,IMPORTRANGE(""https://docs.google.com/spreadsheets/d/1EdCvim__xyxvoo9WoburDTzYylznTCOJBHcnu7eurMw/edit?gid=15948134#gid=15948134"", ""Technique!A1:B2000""),2,FALSE()))"),"use convolutional neural networks")</f>
        <v>use convolutional neural networks</v>
      </c>
      <c r="L22" s="8" t="str">
        <f>IFERROR(__xludf.DUMMYFUNCTION("IF(ISBLANK(D22),""NA"", VLOOKUP(D22,IMPORTRANGE(""https://docs.google.com/spreadsheets/d/1EdCvim__xyxvoo9WoburDTzYylznTCOJBHcnu7eurMw/edit?gid=15948134#gid=15948134"", ""Input!A1:B2000""),2,FALSE()))"),"")</f>
        <v/>
      </c>
    </row>
    <row r="23">
      <c r="A23" s="1" t="s">
        <v>64</v>
      </c>
      <c r="B23" s="1" t="s">
        <v>87</v>
      </c>
      <c r="C23" s="1" t="s">
        <v>88</v>
      </c>
      <c r="D23" s="1" t="s">
        <v>33</v>
      </c>
      <c r="E23" s="14" t="s">
        <v>89</v>
      </c>
      <c r="F23" s="14" t="s">
        <v>90</v>
      </c>
      <c r="G23" s="1" t="s">
        <v>91</v>
      </c>
      <c r="H23" s="15" t="s">
        <v>69</v>
      </c>
      <c r="J23" s="8" t="str">
        <f>IFERROR(__xludf.DUMMYFUNCTION("IF(ISBLANK(F23),""NA"", VLOOKUP(F23,IMPORTRANGE(""https://docs.google.com/spreadsheets/d/1EdCvim__xyxvoo9WoburDTzYylznTCOJBHcnu7eurMw/edit?gid=15948134#gid=15948134"", ""Purpose!A1:B1000""),2,FALSE()))"),"to select a model")</f>
        <v>to select a model</v>
      </c>
      <c r="K23" s="8" t="str">
        <f>IFERROR(__xludf.DUMMYFUNCTION("IF(ISBLANK(E23),""NA"", VLOOKUP(E23,IMPORTRANGE(""https://docs.google.com/spreadsheets/d/1EdCvim__xyxvoo9WoburDTzYylznTCOJBHcnu7eurMw/edit?gid=15948134#gid=15948134"", ""Technique!A1:B2000""),2,FALSE()))"),"select model based on model capabilities")</f>
        <v>select model based on model capabilities</v>
      </c>
      <c r="L23" s="8" t="str">
        <f>IFERROR(__xludf.DUMMYFUNCTION("IF(ISBLANK(D23),""NA"", VLOOKUP(D23,IMPORTRANGE(""https://docs.google.com/spreadsheets/d/1EdCvim__xyxvoo9WoburDTzYylznTCOJBHcnu7eurMw/edit?gid=15948134#gid=15948134"", ""Input!A1:B2000""),2,FALSE()))"),"")</f>
        <v/>
      </c>
    </row>
    <row r="24">
      <c r="A24" s="1" t="s">
        <v>64</v>
      </c>
      <c r="B24" s="1" t="s">
        <v>92</v>
      </c>
      <c r="C24" s="1" t="s">
        <v>93</v>
      </c>
      <c r="D24" s="1" t="s">
        <v>33</v>
      </c>
      <c r="E24" s="16" t="s">
        <v>94</v>
      </c>
      <c r="F24" s="1" t="s">
        <v>33</v>
      </c>
      <c r="G24" s="1" t="s">
        <v>54</v>
      </c>
      <c r="H24" s="15" t="s">
        <v>69</v>
      </c>
      <c r="J24" s="8" t="str">
        <f>IFERROR(__xludf.DUMMYFUNCTION("IF(ISBLANK(F24),""NA"", VLOOKUP(F24,IMPORTRANGE(""https://docs.google.com/spreadsheets/d/1EdCvim__xyxvoo9WoburDTzYylznTCOJBHcnu7eurMw/edit?gid=15948134#gid=15948134"", ""Purpose!A1:B1000""),2,FALSE()))"),"")</f>
        <v/>
      </c>
      <c r="K24" s="8" t="str">
        <f>IFERROR(__xludf.DUMMYFUNCTION("IF(ISBLANK(E24),""NA"", VLOOKUP(E24,IMPORTRANGE(""https://docs.google.com/spreadsheets/d/1EdCvim__xyxvoo9WoburDTzYylznTCOJBHcnu7eurMw/edit?gid=15948134#gid=15948134"", ""Technique!A1:B2000""),2,FALSE()))"),"report model fine details (e.g., binary cross entropy loss)")</f>
        <v>report model fine details (e.g., binary cross entropy loss)</v>
      </c>
      <c r="L24" s="8" t="str">
        <f>IFERROR(__xludf.DUMMYFUNCTION("IF(ISBLANK(D24),""NA"", VLOOKUP(D24,IMPORTRANGE(""https://docs.google.com/spreadsheets/d/1EdCvim__xyxvoo9WoburDTzYylznTCOJBHcnu7eurMw/edit?gid=15948134#gid=15948134"", ""Input!A1:B2000""),2,FALSE()))"),"")</f>
        <v/>
      </c>
    </row>
    <row r="25">
      <c r="A25" s="1" t="s">
        <v>64</v>
      </c>
      <c r="B25" s="1" t="s">
        <v>95</v>
      </c>
      <c r="C25" s="1" t="s">
        <v>96</v>
      </c>
      <c r="D25" s="1" t="s">
        <v>33</v>
      </c>
      <c r="E25" s="14" t="s">
        <v>97</v>
      </c>
      <c r="F25" s="14" t="s">
        <v>98</v>
      </c>
      <c r="G25" s="1" t="s">
        <v>44</v>
      </c>
      <c r="H25" s="15" t="s">
        <v>69</v>
      </c>
      <c r="J25" s="8" t="str">
        <f>IFERROR(__xludf.DUMMYFUNCTION("IF(ISBLANK(F25),""NA"", VLOOKUP(F25,IMPORTRANGE(""https://docs.google.com/spreadsheets/d/1EdCvim__xyxvoo9WoburDTzYylznTCOJBHcnu7eurMw/edit?gid=15948134#gid=15948134"", ""Purpose!A1:B1000""),2,FALSE()))"),"to collect data")</f>
        <v>to collect data</v>
      </c>
      <c r="K25" s="8" t="str">
        <f>IFERROR(__xludf.DUMMYFUNCTION("IF(ISBLANK(E25),""NA"", VLOOKUP(E25,IMPORTRANGE(""https://docs.google.com/spreadsheets/d/1EdCvim__xyxvoo9WoburDTzYylznTCOJBHcnu7eurMw/edit?gid=15948134#gid=15948134"", ""Technique!A1:B2000""),2,FALSE()))"),"collect own data from open-source projects, popular ones")</f>
        <v>collect own data from open-source projects, popular ones</v>
      </c>
      <c r="L25" s="8" t="str">
        <f>IFERROR(__xludf.DUMMYFUNCTION("IF(ISBLANK(D25),""NA"", VLOOKUP(D25,IMPORTRANGE(""https://docs.google.com/spreadsheets/d/1EdCvim__xyxvoo9WoburDTzYylznTCOJBHcnu7eurMw/edit?gid=15948134#gid=15948134"", ""Input!A1:B2000""),2,FALSE()))"),"")</f>
        <v/>
      </c>
    </row>
    <row r="26">
      <c r="A26" s="1" t="s">
        <v>64</v>
      </c>
      <c r="B26" s="1" t="s">
        <v>99</v>
      </c>
      <c r="C26" s="1" t="s">
        <v>96</v>
      </c>
      <c r="D26" s="1" t="s">
        <v>100</v>
      </c>
      <c r="E26" s="14" t="s">
        <v>101</v>
      </c>
      <c r="F26" s="14" t="s">
        <v>102</v>
      </c>
      <c r="G26" s="1" t="s">
        <v>44</v>
      </c>
      <c r="H26" s="15" t="s">
        <v>69</v>
      </c>
      <c r="J26" s="8" t="str">
        <f>IFERROR(__xludf.DUMMYFUNCTION("IF(ISBLANK(F26),""NA"", VLOOKUP(F26,IMPORTRANGE(""https://docs.google.com/spreadsheets/d/1EdCvim__xyxvoo9WoburDTzYylznTCOJBHcnu7eurMw/edit?gid=15948134#gid=15948134"", ""Purpose!A1:B1000""),2,FALSE()))"),"to collect data, code data")</f>
        <v>to collect data, code data</v>
      </c>
      <c r="K26" s="8" t="str">
        <f>IFERROR(__xludf.DUMMYFUNCTION("IF(ISBLANK(E26),""NA"", VLOOKUP(E26,IMPORTRANGE(""https://docs.google.com/spreadsheets/d/1EdCvim__xyxvoo9WoburDTzYylznTCOJBHcnu7eurMw/edit?gid=15948134#gid=15948134"", ""Technique!A1:B2000""),2,FALSE()))"),"collect own data by checking if methods meet a certain condition, training data")</f>
        <v>collect own data by checking if methods meet a certain condition, training data</v>
      </c>
      <c r="L26" s="8" t="str">
        <f>IFERROR(__xludf.DUMMYFUNCTION("IF(ISBLANK(D26),""NA"", VLOOKUP(D26,IMPORTRANGE(""https://docs.google.com/spreadsheets/d/1EdCvim__xyxvoo9WoburDTzYylznTCOJBHcnu7eurMw/edit?gid=15948134#gid=15948134"", ""Input!A1:B2000""),2,FALSE()))"),"code data (open source)")</f>
        <v>code data (open source)</v>
      </c>
    </row>
    <row r="27">
      <c r="A27" s="1" t="s">
        <v>64</v>
      </c>
      <c r="B27" s="1">
        <v>22.0</v>
      </c>
      <c r="C27" s="1" t="s">
        <v>96</v>
      </c>
      <c r="D27" s="1" t="s">
        <v>103</v>
      </c>
      <c r="E27" s="14" t="s">
        <v>104</v>
      </c>
      <c r="F27" s="14" t="s">
        <v>105</v>
      </c>
      <c r="G27" s="1" t="s">
        <v>106</v>
      </c>
      <c r="H27" s="15" t="s">
        <v>69</v>
      </c>
      <c r="J27" s="8" t="str">
        <f>IFERROR(__xludf.DUMMYFUNCTION("IF(ISBLANK(F27),""NA"", VLOOKUP(F27,IMPORTRANGE(""https://docs.google.com/spreadsheets/d/1EdCvim__xyxvoo9WoburDTzYylznTCOJBHcnu7eurMw/edit?gid=15948134#gid=15948134"", ""Purpose!A1:B1000""),2,FALSE()))"),"to label data, class envy automatically")</f>
        <v>to label data, class envy automatically</v>
      </c>
      <c r="K27" s="8" t="str">
        <f>IFERROR(__xludf.DUMMYFUNCTION("IF(ISBLANK(E27),""NA"", VLOOKUP(E27,IMPORTRANGE(""https://docs.google.com/spreadsheets/d/1EdCvim__xyxvoo9WoburDTzYylznTCOJBHcnu7eurMw/edit?gid=15948134#gid=15948134"", ""Technique!A1:B2000""),2,FALSE()))"),"automated labeling, determine if a method can be moved from a class to another")</f>
        <v>automated labeling, determine if a method can be moved from a class to another</v>
      </c>
      <c r="L27" s="8" t="str">
        <f>IFERROR(__xludf.DUMMYFUNCTION("IF(ISBLANK(D27),""NA"", VLOOKUP(D27,IMPORTRANGE(""https://docs.google.com/spreadsheets/d/1EdCvim__xyxvoo9WoburDTzYylznTCOJBHcnu7eurMw/edit?gid=15948134#gid=15948134"", ""Input!A1:B2000""),2,FALSE()))"),"code data")</f>
        <v>code data</v>
      </c>
    </row>
    <row r="28">
      <c r="A28" s="17" t="s">
        <v>64</v>
      </c>
      <c r="B28" s="1" t="s">
        <v>107</v>
      </c>
      <c r="C28" s="1" t="s">
        <v>108</v>
      </c>
      <c r="D28" s="1" t="s">
        <v>109</v>
      </c>
      <c r="E28" s="16" t="s">
        <v>110</v>
      </c>
      <c r="F28" s="14" t="s">
        <v>111</v>
      </c>
      <c r="G28" s="1" t="s">
        <v>54</v>
      </c>
      <c r="H28" s="15" t="s">
        <v>69</v>
      </c>
      <c r="J28" s="8" t="str">
        <f>IFERROR(__xludf.DUMMYFUNCTION("IF(ISBLANK(F28),""NA"", VLOOKUP(F28,IMPORTRANGE(""https://docs.google.com/spreadsheets/d/1EdCvim__xyxvoo9WoburDTzYylznTCOJBHcnu7eurMw/edit?gid=15948134#gid=15948134"", ""Purpose!A1:B1000""),2,FALSE()))"),"to train the model(s)")</f>
        <v>to train the model(s)</v>
      </c>
      <c r="K28" s="8" t="str">
        <f>IFERROR(__xludf.DUMMYFUNCTION("IF(ISBLANK(E28),""NA"", VLOOKUP(E28,IMPORTRANGE(""https://docs.google.com/spreadsheets/d/1EdCvim__xyxvoo9WoburDTzYylznTCOJBHcnu7eurMw/edit?gid=15948134#gid=15948134"", ""Technique!A1:B2000""),2,FALSE()))"),"cross validation")</f>
        <v>cross validation</v>
      </c>
      <c r="L28" s="8" t="str">
        <f>IFERROR(__xludf.DUMMYFUNCTION("IF(ISBLANK(D28),""NA"", VLOOKUP(D28,IMPORTRANGE(""https://docs.google.com/spreadsheets/d/1EdCvim__xyxvoo9WoburDTzYylznTCOJBHcnu7eurMw/edit?gid=15948134#gid=15948134"", ""Input!A1:B2000""),2,FALSE()))"),"code data (data in folds)")</f>
        <v>code data (data in folds)</v>
      </c>
    </row>
    <row r="29">
      <c r="A29" s="17" t="s">
        <v>64</v>
      </c>
      <c r="B29" s="1" t="s">
        <v>112</v>
      </c>
      <c r="C29" s="1" t="s">
        <v>113</v>
      </c>
      <c r="D29" s="1" t="s">
        <v>114</v>
      </c>
      <c r="E29" s="14" t="s">
        <v>115</v>
      </c>
      <c r="F29" s="14" t="s">
        <v>116</v>
      </c>
      <c r="G29" s="1" t="s">
        <v>39</v>
      </c>
      <c r="H29" s="15" t="s">
        <v>69</v>
      </c>
      <c r="J29" s="8" t="str">
        <f>IFERROR(__xludf.DUMMYFUNCTION("IF(ISBLANK(F29),""NA"", VLOOKUP(F29,IMPORTRANGE(""https://docs.google.com/spreadsheets/d/1EdCvim__xyxvoo9WoburDTzYylznTCOJBHcnu7eurMw/edit?gid=15948134#gid=15948134"", ""Purpose!A1:B1000""),2,FALSE()))"),"to evaluate model(s) functionally (e.g., accuracy)")</f>
        <v>to evaluate model(s) functionally (e.g., accuracy)</v>
      </c>
      <c r="K29" s="8" t="str">
        <f>IFERROR(__xludf.DUMMYFUNCTION("IF(ISBLANK(E29),""NA"", VLOOKUP(E29,IMPORTRANGE(""https://docs.google.com/spreadsheets/d/1EdCvim__xyxvoo9WoburDTzYylznTCOJBHcnu7eurMw/edit?gid=15948134#gid=15948134"", ""Technique!A1:B2000""),2,FALSE()))"),"compute classical metrics (i.e., Accuracy, Precision, Recall, F-meassure)")</f>
        <v>compute classical metrics (i.e., Accuracy, Precision, Recall, F-meassure)</v>
      </c>
      <c r="L29" s="8" t="str">
        <f>IFERROR(__xludf.DUMMYFUNCTION("IF(ISBLANK(D29),""NA"", VLOOKUP(D29,IMPORTRANGE(""https://docs.google.com/spreadsheets/d/1EdCvim__xyxvoo9WoburDTzYylznTCOJBHcnu7eurMw/edit?gid=15948134#gid=15948134"", ""Input!A1:B2000""),2,FALSE()))"),"deep learning model(s)")</f>
        <v>deep learning model(s)</v>
      </c>
    </row>
    <row r="30">
      <c r="A30" s="17" t="s">
        <v>64</v>
      </c>
      <c r="B30" s="1" t="s">
        <v>117</v>
      </c>
      <c r="C30" s="1" t="s">
        <v>118</v>
      </c>
      <c r="D30" s="1" t="s">
        <v>119</v>
      </c>
      <c r="E30" s="14" t="s">
        <v>120</v>
      </c>
      <c r="F30" s="14" t="s">
        <v>121</v>
      </c>
      <c r="G30" s="1" t="s">
        <v>39</v>
      </c>
      <c r="H30" s="15" t="s">
        <v>69</v>
      </c>
      <c r="J30" s="8" t="str">
        <f>IFERROR(__xludf.DUMMYFUNCTION("IF(ISBLANK(F30),""NA"", VLOOKUP(F30,IMPORTRANGE(""https://docs.google.com/spreadsheets/d/1EdCvim__xyxvoo9WoburDTzYylznTCOJBHcnu7eurMw/edit?gid=15948134#gid=15948134"", ""Purpose!A1:B1000""),2,FALSE()))"),"to evaluate model(s) functionally (e.g., accuracy) against others")</f>
        <v>to evaluate model(s) functionally (e.g., accuracy) against others</v>
      </c>
      <c r="K30" s="8" t="str">
        <f>IFERROR(__xludf.DUMMYFUNCTION("IF(ISBLANK(E30),""NA"", VLOOKUP(E30,IMPORTRANGE(""https://docs.google.com/spreadsheets/d/1EdCvim__xyxvoo9WoburDTzYylznTCOJBHcnu7eurMw/edit?gid=15948134#gid=15948134"", ""Technique!A1:B2000""),2,FALSE()))"),"compare directly with other approaches (no statistical tests) + compare with baseline model(s), non ml (JDeorant, JMove)")</f>
        <v>compare directly with other approaches (no statistical tests) + compare with baseline model(s), non ml (JDeorant, JMove)</v>
      </c>
      <c r="L30" s="8" t="str">
        <f>IFERROR(__xludf.DUMMYFUNCTION("IF(ISBLANK(D30),""NA"", VLOOKUP(D30,IMPORTRANGE(""https://docs.google.com/spreadsheets/d/1EdCvim__xyxvoo9WoburDTzYylznTCOJBHcnu7eurMw/edit?gid=15948134#gid=15948134"", ""Input!A1:B2000""),2,FALSE()))"),"computed metrics of multiple models")</f>
        <v>computed metrics of multiple models</v>
      </c>
    </row>
    <row r="31">
      <c r="A31" s="17" t="s">
        <v>64</v>
      </c>
      <c r="B31" s="1">
        <v>27.0</v>
      </c>
      <c r="C31" s="1" t="s">
        <v>118</v>
      </c>
      <c r="D31" s="1" t="s">
        <v>122</v>
      </c>
      <c r="E31" s="14" t="s">
        <v>123</v>
      </c>
      <c r="F31" s="14" t="s">
        <v>124</v>
      </c>
      <c r="G31" s="1" t="s">
        <v>39</v>
      </c>
      <c r="H31" s="15" t="s">
        <v>69</v>
      </c>
      <c r="J31" s="8" t="str">
        <f>IFERROR(__xludf.DUMMYFUNCTION("IF(ISBLANK(F31),""NA"", VLOOKUP(F31,IMPORTRANGE(""https://docs.google.com/spreadsheets/d/1EdCvim__xyxvoo9WoburDTzYylznTCOJBHcnu7eurMw/edit?gid=15948134#gid=15948134"", ""Purpose!A1:B1000""),2,FALSE()))"),"to understand how different features affect the model results")</f>
        <v>to understand how different features affect the model results</v>
      </c>
      <c r="K31" s="8" t="str">
        <f>IFERROR(__xludf.DUMMYFUNCTION("IF(ISBLANK(E31),""NA"", VLOOKUP(E31,IMPORTRANGE(""https://docs.google.com/spreadsheets/d/1EdCvim__xyxvoo9WoburDTzYylznTCOJBHcnu7eurMw/edit?gid=15948134#gid=15948134"", ""Technique!A1:B2000""),2,FALSE()))"),"ablation study (vary features used)")</f>
        <v>ablation study (vary features used)</v>
      </c>
      <c r="L31" s="8" t="str">
        <f>IFERROR(__xludf.DUMMYFUNCTION("IF(ISBLANK(D31),""NA"", VLOOKUP(D31,IMPORTRANGE(""https://docs.google.com/spreadsheets/d/1EdCvim__xyxvoo9WoburDTzYylznTCOJBHcnu7eurMw/edit?gid=15948134#gid=15948134"", ""Input!A1:B2000""),2,FALSE()))"),"model(s) + model features")</f>
        <v>model(s) + model features</v>
      </c>
    </row>
    <row r="32">
      <c r="A32" s="17" t="s">
        <v>64</v>
      </c>
      <c r="B32" s="1">
        <v>28.0</v>
      </c>
      <c r="C32" s="1" t="s">
        <v>118</v>
      </c>
      <c r="D32" s="1" t="s">
        <v>125</v>
      </c>
      <c r="E32" s="14" t="s">
        <v>126</v>
      </c>
      <c r="F32" s="14" t="s">
        <v>127</v>
      </c>
      <c r="G32" s="1" t="s">
        <v>39</v>
      </c>
      <c r="H32" s="15" t="s">
        <v>69</v>
      </c>
      <c r="J32" s="8" t="str">
        <f>IFERROR(__xludf.DUMMYFUNCTION("IF(ISBLANK(F32),""NA"", VLOOKUP(F32,IMPORTRANGE(""https://docs.google.com/spreadsheets/d/1EdCvim__xyxvoo9WoburDTzYylznTCOJBHcnu7eurMw/edit?gid=15948134#gid=15948134"", ""Purpose!A1:B1000""),2,FALSE()))"),"to evaluate model(s) non-functional attributes (i.e., execution time)")</f>
        <v>to evaluate model(s) non-functional attributes (i.e., execution time)</v>
      </c>
      <c r="K32" s="8" t="str">
        <f>IFERROR(__xludf.DUMMYFUNCTION("IF(ISBLANK(E32),""NA"", VLOOKUP(E32,IMPORTRANGE(""https://docs.google.com/spreadsheets/d/1EdCvim__xyxvoo9WoburDTzYylznTCOJBHcnu7eurMw/edit?gid=15948134#gid=15948134"", ""Technique!A1:B2000""),2,FALSE()))"),"compute execution time + compute training time")</f>
        <v>compute execution time + compute training time</v>
      </c>
      <c r="L32" s="8" t="str">
        <f>IFERROR(__xludf.DUMMYFUNCTION("IF(ISBLANK(D32),""NA"", VLOOKUP(D32,IMPORTRANGE(""https://docs.google.com/spreadsheets/d/1EdCvim__xyxvoo9WoburDTzYylznTCOJBHcnu7eurMw/edit?gid=15948134#gid=15948134"", ""Input!A1:B2000""),2,FALSE()))"),"model(s) + different hardware settings")</f>
        <v>model(s) + different hardware settings</v>
      </c>
    </row>
    <row r="33" hidden="1">
      <c r="A33" s="18" t="s">
        <v>128</v>
      </c>
      <c r="B33" s="19">
        <v>40575.0</v>
      </c>
      <c r="C33" s="1" t="s">
        <v>129</v>
      </c>
      <c r="D33" s="1" t="s">
        <v>27</v>
      </c>
      <c r="E33" s="14" t="s">
        <v>130</v>
      </c>
      <c r="F33" s="14" t="s">
        <v>131</v>
      </c>
      <c r="G33" s="1" t="s">
        <v>14</v>
      </c>
      <c r="H33" s="15" t="s">
        <v>15</v>
      </c>
      <c r="J33" s="8" t="str">
        <f>IFERROR(__xludf.DUMMYFUNCTION("IF(ISBLANK(F33),""NA"", VLOOKUP(F33,IMPORTRANGE(""https://docs.google.com/spreadsheets/d/1EdCvim__xyxvoo9WoburDTzYylznTCOJBHcnu7eurMw/edit?gid=15948134#gid=15948134"", ""Purpose!A1:B1000""),2,FALSE()))"),"to encode data into a vector space model")</f>
        <v>to encode data into a vector space model</v>
      </c>
      <c r="K33" s="8" t="str">
        <f>IFERROR(__xludf.DUMMYFUNCTION("IF(ISBLANK(E33),""NA"", VLOOKUP(E33,IMPORTRANGE(""https://docs.google.com/spreadsheets/d/1EdCvim__xyxvoo9WoburDTzYylznTCOJBHcnu7eurMw/edit?gid=15948134#gid=15948134"", ""Technique!A1:B2000""),2,FALSE()))"),"use TF-IDF")</f>
        <v>use TF-IDF</v>
      </c>
      <c r="L33" s="8" t="str">
        <f>IFERROR(__xludf.DUMMYFUNCTION("IF(ISBLANK(D33),""NA"", VLOOKUP(D33,IMPORTRANGE(""https://docs.google.com/spreadsheets/d/1EdCvim__xyxvoo9WoburDTzYylznTCOJBHcnu7eurMw/edit?gid=15948134#gid=15948134"", ""Input!A1:B2000""),2,FALSE()))"),"textual data (i.e., NLP) + textual data (i.e., code data)")</f>
        <v>textual data (i.e., NLP) + textual data (i.e., code data)</v>
      </c>
    </row>
    <row r="34" hidden="1">
      <c r="A34" s="18" t="s">
        <v>128</v>
      </c>
      <c r="B34" s="1">
        <v>12.0</v>
      </c>
      <c r="C34" s="1" t="s">
        <v>132</v>
      </c>
      <c r="D34" s="1" t="s">
        <v>133</v>
      </c>
      <c r="E34" s="14" t="s">
        <v>134</v>
      </c>
      <c r="F34" s="14" t="s">
        <v>135</v>
      </c>
      <c r="G34" s="1" t="s">
        <v>14</v>
      </c>
      <c r="H34" s="15" t="s">
        <v>15</v>
      </c>
      <c r="J34" s="8" t="str">
        <f>IFERROR(__xludf.DUMMYFUNCTION("IF(ISBLANK(F34),""NA"", VLOOKUP(F34,IMPORTRANGE(""https://docs.google.com/spreadsheets/d/1EdCvim__xyxvoo9WoburDTzYylznTCOJBHcnu7eurMw/edit?gid=15948134#gid=15948134"", ""Purpose!A1:B1000""),2,FALSE()))"),"to tokenize textual data and code data")</f>
        <v>to tokenize textual data and code data</v>
      </c>
      <c r="K34" s="8" t="str">
        <f>IFERROR(__xludf.DUMMYFUNCTION("IF(ISBLANK(E34),""NA"", VLOOKUP(E34,IMPORTRANGE(""https://docs.google.com/spreadsheets/d/1EdCvim__xyxvoo9WoburDTzYylznTCOJBHcnu7eurMw/edit?gid=15948134#gid=15948134"", ""Technique!A1:B2000""),2,FALSE()))"),"tokenize by space")</f>
        <v>tokenize by space</v>
      </c>
      <c r="L34" s="8" t="str">
        <f>IFERROR(__xludf.DUMMYFUNCTION("IF(ISBLANK(D34),""NA"", VLOOKUP(D34,IMPORTRANGE(""https://docs.google.com/spreadsheets/d/1EdCvim__xyxvoo9WoburDTzYylznTCOJBHcnu7eurMw/edit?gid=15948134#gid=15948134"", ""Input!A1:B2000""),2,FALSE()))"),"textual data (comments) + code data")</f>
        <v>textual data (comments) + code data</v>
      </c>
    </row>
    <row r="35" hidden="1">
      <c r="A35" s="18" t="s">
        <v>128</v>
      </c>
      <c r="B35" s="1">
        <v>13.0</v>
      </c>
      <c r="C35" s="1" t="s">
        <v>132</v>
      </c>
      <c r="D35" s="1" t="s">
        <v>136</v>
      </c>
      <c r="E35" s="16" t="s">
        <v>137</v>
      </c>
      <c r="F35" s="14" t="s">
        <v>138</v>
      </c>
      <c r="G35" s="1" t="s">
        <v>20</v>
      </c>
      <c r="H35" s="15" t="s">
        <v>15</v>
      </c>
      <c r="J35" s="8" t="str">
        <f>IFERROR(__xludf.DUMMYFUNCTION("IF(ISBLANK(F35),""NA"", VLOOKUP(F35,IMPORTRANGE(""https://docs.google.com/spreadsheets/d/1EdCvim__xyxvoo9WoburDTzYylznTCOJBHcnu7eurMw/edit?gid=15948134#gid=15948134"", ""Purpose!A1:B1000""),2,FALSE()))"),"to remove the noise in data")</f>
        <v>to remove the noise in data</v>
      </c>
      <c r="K35" s="8" t="str">
        <f>IFERROR(__xludf.DUMMYFUNCTION("IF(ISBLANK(E35),""NA"", VLOOKUP(E35,IMPORTRANGE(""https://docs.google.com/spreadsheets/d/1EdCvim__xyxvoo9WoburDTzYylznTCOJBHcnu7eurMw/edit?gid=15948134#gid=15948134"", ""Technique!A1:B2000""),2,FALSE()))"),"remove punctuation")</f>
        <v>remove punctuation</v>
      </c>
      <c r="L35" s="8" t="str">
        <f>IFERROR(__xludf.DUMMYFUNCTION("IF(ISBLANK(D35),""NA"", VLOOKUP(D35,IMPORTRANGE(""https://docs.google.com/spreadsheets/d/1EdCvim__xyxvoo9WoburDTzYylznTCOJBHcnu7eurMw/edit?gid=15948134#gid=15948134"", ""Input!A1:B2000""),2,FALSE()))"),"bag of words (textual data, i.e., code and NLP)")</f>
        <v>bag of words (textual data, i.e., code and NLP)</v>
      </c>
    </row>
    <row r="36" hidden="1">
      <c r="A36" s="18" t="s">
        <v>128</v>
      </c>
      <c r="B36" s="1">
        <v>14.0</v>
      </c>
      <c r="C36" s="1" t="s">
        <v>132</v>
      </c>
      <c r="D36" s="1" t="s">
        <v>136</v>
      </c>
      <c r="E36" s="16" t="s">
        <v>139</v>
      </c>
      <c r="F36" s="14" t="s">
        <v>138</v>
      </c>
      <c r="G36" s="1" t="s">
        <v>20</v>
      </c>
      <c r="H36" s="15" t="s">
        <v>15</v>
      </c>
      <c r="J36" s="8" t="str">
        <f>IFERROR(__xludf.DUMMYFUNCTION("IF(ISBLANK(F36),""NA"", VLOOKUP(F36,IMPORTRANGE(""https://docs.google.com/spreadsheets/d/1EdCvim__xyxvoo9WoburDTzYylznTCOJBHcnu7eurMw/edit?gid=15948134#gid=15948134"", ""Purpose!A1:B1000""),2,FALSE()))"),"to remove the noise in data")</f>
        <v>to remove the noise in data</v>
      </c>
      <c r="K36" s="8" t="str">
        <f>IFERROR(__xludf.DUMMYFUNCTION("IF(ISBLANK(E36),""NA"", VLOOKUP(E36,IMPORTRANGE(""https://docs.google.com/spreadsheets/d/1EdCvim__xyxvoo9WoburDTzYylznTCOJBHcnu7eurMw/edit?gid=15948134#gid=15948134"", ""Technique!A1:B2000""),2,FALSE()))"),"remove numbers")</f>
        <v>remove numbers</v>
      </c>
      <c r="L36" s="8" t="str">
        <f>IFERROR(__xludf.DUMMYFUNCTION("IF(ISBLANK(D36),""NA"", VLOOKUP(D36,IMPORTRANGE(""https://docs.google.com/spreadsheets/d/1EdCvim__xyxvoo9WoburDTzYylznTCOJBHcnu7eurMw/edit?gid=15948134#gid=15948134"", ""Input!A1:B2000""),2,FALSE()))"),"bag of words (textual data, i.e., code and NLP)")</f>
        <v>bag of words (textual data, i.e., code and NLP)</v>
      </c>
    </row>
    <row r="37" hidden="1">
      <c r="A37" s="18" t="s">
        <v>128</v>
      </c>
      <c r="B37" s="1">
        <v>15.0</v>
      </c>
      <c r="C37" s="1" t="s">
        <v>132</v>
      </c>
      <c r="D37" s="1" t="s">
        <v>136</v>
      </c>
      <c r="E37" s="16" t="s">
        <v>140</v>
      </c>
      <c r="F37" s="14" t="s">
        <v>138</v>
      </c>
      <c r="G37" s="1" t="s">
        <v>20</v>
      </c>
      <c r="H37" s="15" t="s">
        <v>15</v>
      </c>
      <c r="J37" s="8" t="str">
        <f>IFERROR(__xludf.DUMMYFUNCTION("IF(ISBLANK(F37),""NA"", VLOOKUP(F37,IMPORTRANGE(""https://docs.google.com/spreadsheets/d/1EdCvim__xyxvoo9WoburDTzYylznTCOJBHcnu7eurMw/edit?gid=15948134#gid=15948134"", ""Purpose!A1:B1000""),2,FALSE()))"),"to remove the noise in data")</f>
        <v>to remove the noise in data</v>
      </c>
      <c r="K37" s="8" t="str">
        <f>IFERROR(__xludf.DUMMYFUNCTION("IF(ISBLANK(E37),""NA"", VLOOKUP(E37,IMPORTRANGE(""https://docs.google.com/spreadsheets/d/1EdCvim__xyxvoo9WoburDTzYylznTCOJBHcnu7eurMw/edit?gid=15948134#gid=15948134"", ""Technique!A1:B2000""),2,FALSE()))"),"remove stop words")</f>
        <v>remove stop words</v>
      </c>
      <c r="L37" s="8" t="str">
        <f>IFERROR(__xludf.DUMMYFUNCTION("IF(ISBLANK(D37),""NA"", VLOOKUP(D37,IMPORTRANGE(""https://docs.google.com/spreadsheets/d/1EdCvim__xyxvoo9WoburDTzYylznTCOJBHcnu7eurMw/edit?gid=15948134#gid=15948134"", ""Input!A1:B2000""),2,FALSE()))"),"bag of words (textual data, i.e., code and NLP)")</f>
        <v>bag of words (textual data, i.e., code and NLP)</v>
      </c>
    </row>
    <row r="38" hidden="1">
      <c r="A38" s="18" t="s">
        <v>128</v>
      </c>
      <c r="B38" s="1">
        <v>16.0</v>
      </c>
      <c r="C38" s="1" t="s">
        <v>141</v>
      </c>
      <c r="D38" s="1" t="s">
        <v>136</v>
      </c>
      <c r="E38" s="16" t="s">
        <v>142</v>
      </c>
      <c r="F38" s="14" t="s">
        <v>135</v>
      </c>
      <c r="G38" s="1" t="s">
        <v>20</v>
      </c>
      <c r="H38" s="15" t="s">
        <v>15</v>
      </c>
      <c r="J38" s="8" t="str">
        <f>IFERROR(__xludf.DUMMYFUNCTION("IF(ISBLANK(F38),""NA"", VLOOKUP(F38,IMPORTRANGE(""https://docs.google.com/spreadsheets/d/1EdCvim__xyxvoo9WoburDTzYylznTCOJBHcnu7eurMw/edit?gid=15948134#gid=15948134"", ""Purpose!A1:B1000""),2,FALSE()))"),"to tokenize textual data and code data")</f>
        <v>to tokenize textual data and code data</v>
      </c>
      <c r="K38" s="8" t="str">
        <f>IFERROR(__xludf.DUMMYFUNCTION("IF(ISBLANK(E38),""NA"", VLOOKUP(E38,IMPORTRANGE(""https://docs.google.com/spreadsheets/d/1EdCvim__xyxvoo9WoburDTzYylznTCOJBHcnu7eurMw/edit?gid=15948134#gid=15948134"", ""Technique!A1:B2000""),2,FALSE()))"),"tokenize by capital letters and underscore code data")</f>
        <v>tokenize by capital letters and underscore code data</v>
      </c>
      <c r="L38" s="8" t="str">
        <f>IFERROR(__xludf.DUMMYFUNCTION("IF(ISBLANK(D38),""NA"", VLOOKUP(D38,IMPORTRANGE(""https://docs.google.com/spreadsheets/d/1EdCvim__xyxvoo9WoburDTzYylznTCOJBHcnu7eurMw/edit?gid=15948134#gid=15948134"", ""Input!A1:B2000""),2,FALSE()))"),"bag of words (textual data, i.e., code and NLP)")</f>
        <v>bag of words (textual data, i.e., code and NLP)</v>
      </c>
    </row>
    <row r="39" hidden="1">
      <c r="A39" s="18" t="s">
        <v>128</v>
      </c>
      <c r="B39" s="1">
        <v>17.0</v>
      </c>
      <c r="C39" s="1" t="s">
        <v>141</v>
      </c>
      <c r="D39" s="1" t="s">
        <v>143</v>
      </c>
      <c r="E39" s="16" t="s">
        <v>144</v>
      </c>
      <c r="F39" s="14" t="s">
        <v>145</v>
      </c>
      <c r="G39" s="1" t="s">
        <v>20</v>
      </c>
      <c r="H39" s="15" t="s">
        <v>15</v>
      </c>
      <c r="J39" s="8" t="str">
        <f>IFERROR(__xludf.DUMMYFUNCTION("IF(ISBLANK(F39),""NA"", VLOOKUP(F39,IMPORTRANGE(""https://docs.google.com/spreadsheets/d/1EdCvim__xyxvoo9WoburDTzYylznTCOJBHcnu7eurMw/edit?gid=15948134#gid=15948134"", ""Purpose!A1:B1000""),2,FALSE()))"),"to have stemmed data")</f>
        <v>to have stemmed data</v>
      </c>
      <c r="K39" s="8" t="str">
        <f>IFERROR(__xludf.DUMMYFUNCTION("IF(ISBLANK(E39),""NA"", VLOOKUP(E39,IMPORTRANGE(""https://docs.google.com/spreadsheets/d/1EdCvim__xyxvoo9WoburDTzYylznTCOJBHcnu7eurMw/edit?gid=15948134#gid=15948134"", ""Technique!A1:B2000""),2,FALSE()))"),"apply stemming, Porter Stemming")</f>
        <v>apply stemming, Porter Stemming</v>
      </c>
      <c r="L39" s="8" t="str">
        <f>IFERROR(__xludf.DUMMYFUNCTION("IF(ISBLANK(D39),""NA"", VLOOKUP(D39,IMPORTRANGE(""https://docs.google.com/spreadsheets/d/1EdCvim__xyxvoo9WoburDTzYylznTCOJBHcnu7eurMw/edit?gid=15948134#gid=15948134"", ""Input!A1:B2000""),2,FALSE()))"),"bag of words (textual data, i.e., code and NLP)")</f>
        <v>bag of words (textual data, i.e., code and NLP)</v>
      </c>
    </row>
    <row r="40" hidden="1">
      <c r="A40" s="18" t="s">
        <v>128</v>
      </c>
      <c r="B40" s="1">
        <v>18.0</v>
      </c>
      <c r="C40" s="1" t="s">
        <v>141</v>
      </c>
      <c r="D40" s="1" t="s">
        <v>11</v>
      </c>
      <c r="E40" s="14" t="s">
        <v>12</v>
      </c>
      <c r="F40" s="14" t="s">
        <v>146</v>
      </c>
      <c r="G40" s="1" t="s">
        <v>14</v>
      </c>
      <c r="H40" s="15" t="s">
        <v>15</v>
      </c>
      <c r="J40" s="8" t="str">
        <f>IFERROR(__xludf.DUMMYFUNCTION("IF(ISBLANK(F40),""NA"", VLOOKUP(F40,IMPORTRANGE(""https://docs.google.com/spreadsheets/d/1EdCvim__xyxvoo9WoburDTzYylznTCOJBHcnu7eurMw/edit?gid=15948134#gid=15948134"", ""Purpose!A1:B1000""),2,FALSE()))"),"to enable the computation of a feature (i.e., Surface Lexical Similarity between method and thebug report)")</f>
        <v>to enable the computation of a feature (i.e., Surface Lexical Similarity between method and thebug report)</v>
      </c>
      <c r="K40" s="8" t="str">
        <f>IFERROR(__xludf.DUMMYFUNCTION("IF(ISBLANK(E40),""NA"", VLOOKUP(E40,IMPORTRANGE(""https://docs.google.com/spreadsheets/d/1EdCvim__xyxvoo9WoburDTzYylznTCOJBHcnu7eurMw/edit?gid=15948134#gid=15948134"", ""Technique!A1:B2000""),2,FALSE()))"),"extract the methods using the AST")</f>
        <v>extract the methods using the AST</v>
      </c>
      <c r="L40" s="8" t="str">
        <f>IFERROR(__xludf.DUMMYFUNCTION("IF(ISBLANK(D40),""NA"", VLOOKUP(D40,IMPORTRANGE(""https://docs.google.com/spreadsheets/d/1EdCvim__xyxvoo9WoburDTzYylznTCOJBHcnu7eurMw/edit?gid=15948134#gid=15948134"", ""Input!A1:B2000""),2,FALSE()))"),"code data")</f>
        <v>code data</v>
      </c>
    </row>
    <row r="41" hidden="1">
      <c r="A41" s="18" t="s">
        <v>128</v>
      </c>
      <c r="B41" s="1">
        <v>4.19</v>
      </c>
      <c r="C41" s="1" t="s">
        <v>141</v>
      </c>
      <c r="D41" s="1" t="s">
        <v>147</v>
      </c>
      <c r="E41" s="14" t="s">
        <v>148</v>
      </c>
      <c r="F41" s="14" t="s">
        <v>149</v>
      </c>
      <c r="G41" s="1" t="s">
        <v>14</v>
      </c>
      <c r="H41" s="15" t="s">
        <v>15</v>
      </c>
      <c r="J41" s="8" t="str">
        <f>IFERROR(__xludf.DUMMYFUNCTION("IF(ISBLANK(F41),""NA"", VLOOKUP(F41,IMPORTRANGE(""https://docs.google.com/spreadsheets/d/1EdCvim__xyxvoo9WoburDTzYylznTCOJBHcnu7eurMw/edit?gid=15948134#gid=15948134"", ""Purpose!A1:B1000""),2,FALSE()))"),"to calculate a feature (i.e., Surface Lexical Similarity between method and thebug report)")</f>
        <v>to calculate a feature (i.e., Surface Lexical Similarity between method and thebug report)</v>
      </c>
      <c r="K41" s="8" t="str">
        <f>IFERROR(__xludf.DUMMYFUNCTION("IF(ISBLANK(E41),""NA"", VLOOKUP(E41,IMPORTRANGE(""https://docs.google.com/spreadsheets/d/1EdCvim__xyxvoo9WoburDTzYylznTCOJBHcnu7eurMw/edit?gid=15948134#gid=15948134"", ""Technique!A1:B2000""),2,FALSE()))"),"use cosine similarity")</f>
        <v>use cosine similarity</v>
      </c>
      <c r="L41" s="8" t="str">
        <f>IFERROR(__xludf.DUMMYFUNCTION("IF(ISBLANK(D41),""NA"", VLOOKUP(D41,IMPORTRANGE(""https://docs.google.com/spreadsheets/d/1EdCvim__xyxvoo9WoburDTzYylznTCOJBHcnu7eurMw/edit?gid=15948134#gid=15948134"", ""Input!A1:B2000""),2,FALSE()))"),"textual data (bug reports) + code data")</f>
        <v>textual data (bug reports) + code data</v>
      </c>
    </row>
    <row r="42" hidden="1">
      <c r="A42" s="18" t="s">
        <v>128</v>
      </c>
      <c r="B42" s="1">
        <v>20.0</v>
      </c>
      <c r="C42" s="1" t="s">
        <v>150</v>
      </c>
      <c r="D42" s="1" t="s">
        <v>151</v>
      </c>
      <c r="E42" s="16" t="s">
        <v>152</v>
      </c>
      <c r="G42" s="1" t="s">
        <v>20</v>
      </c>
      <c r="H42" s="15" t="s">
        <v>15</v>
      </c>
      <c r="J42" s="8" t="str">
        <f>IFERROR(__xludf.DUMMYFUNCTION("IF(ISBLANK(F42),""NA"", VLOOKUP(F42,IMPORTRANGE(""https://docs.google.com/spreadsheets/d/1EdCvim__xyxvoo9WoburDTzYylznTCOJBHcnu7eurMw/edit?gid=15948134#gid=15948134"", ""Purpose!A1:B1000""),2,FALSE()))"),"NA")</f>
        <v>NA</v>
      </c>
      <c r="K42" s="8" t="str">
        <f>IFERROR(__xludf.DUMMYFUNCTION("IF(ISBLANK(E42),""NA"", VLOOKUP(E42,IMPORTRANGE(""https://docs.google.com/spreadsheets/d/1EdCvim__xyxvoo9WoburDTzYylznTCOJBHcnu7eurMw/edit?gid=15948134#gid=15948134"", ""Technique!A1:B2000""),2,FALSE()))"),"use normalization with statistics obtained from training")</f>
        <v>use normalization with statistics obtained from training</v>
      </c>
      <c r="L42" s="8" t="str">
        <f>IFERROR(__xludf.DUMMYFUNCTION("IF(ISBLANK(D42),""NA"", VLOOKUP(D42,IMPORTRANGE(""https://docs.google.com/spreadsheets/d/1EdCvim__xyxvoo9WoburDTzYylznTCOJBHcnu7eurMw/edit?gid=15948134#gid=15948134"", ""Input!A1:B2000""),2,FALSE()))"),"model(s)' features (numeric features)")</f>
        <v>model(s)' features (numeric features)</v>
      </c>
    </row>
    <row r="43" hidden="1">
      <c r="A43" s="18" t="s">
        <v>128</v>
      </c>
      <c r="B43" s="1">
        <v>21.0</v>
      </c>
      <c r="C43" s="1" t="s">
        <v>153</v>
      </c>
      <c r="D43" s="1" t="s">
        <v>33</v>
      </c>
      <c r="E43" s="14" t="s">
        <v>154</v>
      </c>
      <c r="F43" s="14" t="s">
        <v>98</v>
      </c>
      <c r="G43" s="1" t="s">
        <v>44</v>
      </c>
      <c r="H43" s="15" t="s">
        <v>15</v>
      </c>
      <c r="J43" s="8" t="str">
        <f>IFERROR(__xludf.DUMMYFUNCTION("IF(ISBLANK(F43),""NA"", VLOOKUP(F43,IMPORTRANGE(""https://docs.google.com/spreadsheets/d/1EdCvim__xyxvoo9WoburDTzYylznTCOJBHcnu7eurMw/edit?gid=15948134#gid=15948134"", ""Purpose!A1:B1000""),2,FALSE()))"),"to collect data")</f>
        <v>to collect data</v>
      </c>
      <c r="K43" s="8" t="str">
        <f>IFERROR(__xludf.DUMMYFUNCTION("IF(ISBLANK(E43),""NA"", VLOOKUP(E43,IMPORTRANGE(""https://docs.google.com/spreadsheets/d/1EdCvim__xyxvoo9WoburDTzYylznTCOJBHcnu7eurMw/edit?gid=15948134#gid=15948134"", ""Technique!A1:B2000""),2,FALSE()))"),"collect own data from open-source projects")</f>
        <v>collect own data from open-source projects</v>
      </c>
      <c r="L43" s="8" t="str">
        <f>IFERROR(__xludf.DUMMYFUNCTION("IF(ISBLANK(D43),""NA"", VLOOKUP(D43,IMPORTRANGE(""https://docs.google.com/spreadsheets/d/1EdCvim__xyxvoo9WoburDTzYylznTCOJBHcnu7eurMw/edit?gid=15948134#gid=15948134"", ""Input!A1:B2000""),2,FALSE()))"),"")</f>
        <v/>
      </c>
    </row>
    <row r="44" hidden="1">
      <c r="A44" s="18" t="s">
        <v>128</v>
      </c>
      <c r="B44" s="1">
        <v>22.0</v>
      </c>
      <c r="C44" s="1" t="s">
        <v>153</v>
      </c>
      <c r="D44" s="1" t="s">
        <v>33</v>
      </c>
      <c r="E44" s="16" t="s">
        <v>155</v>
      </c>
      <c r="F44" s="14" t="s">
        <v>156</v>
      </c>
      <c r="G44" s="1" t="s">
        <v>20</v>
      </c>
      <c r="H44" s="15" t="s">
        <v>15</v>
      </c>
      <c r="J44" s="8" t="str">
        <f>IFERROR(__xludf.DUMMYFUNCTION("IF(ISBLANK(F44),""NA"", VLOOKUP(F44,IMPORTRANGE(""https://docs.google.com/spreadsheets/d/1EdCvim__xyxvoo9WoburDTzYylznTCOJBHcnu7eurMw/edit?gid=15948134#gid=15948134"", ""Purpose!A1:B1000""),2,FALSE()))"),"to ensure data quality")</f>
        <v>to ensure data quality</v>
      </c>
      <c r="K44" s="8" t="str">
        <f>IFERROR(__xludf.DUMMYFUNCTION("IF(ISBLANK(E44),""NA"", VLOOKUP(E44,IMPORTRANGE(""https://docs.google.com/spreadsheets/d/1EdCvim__xyxvoo9WoburDTzYylznTCOJBHcnu7eurMw/edit?gid=15948134#gid=15948134"", ""Technique!A1:B2000""),2,FALSE()))"),"filter out non related information to the goal (i.e., bugs)")</f>
        <v>filter out non related information to the goal (i.e., bugs)</v>
      </c>
      <c r="L44" s="8" t="str">
        <f>IFERROR(__xludf.DUMMYFUNCTION("IF(ISBLANK(D44),""NA"", VLOOKUP(D44,IMPORTRANGE(""https://docs.google.com/spreadsheets/d/1EdCvim__xyxvoo9WoburDTzYylznTCOJBHcnu7eurMw/edit?gid=15948134#gid=15948134"", ""Input!A1:B2000""),2,FALSE()))"),"")</f>
        <v/>
      </c>
    </row>
    <row r="45" hidden="1">
      <c r="A45" s="18" t="s">
        <v>128</v>
      </c>
      <c r="B45" s="1">
        <v>5.23</v>
      </c>
      <c r="C45" s="1" t="s">
        <v>157</v>
      </c>
      <c r="D45" s="1" t="s">
        <v>158</v>
      </c>
      <c r="E45" s="16" t="s">
        <v>159</v>
      </c>
      <c r="F45" s="14" t="s">
        <v>160</v>
      </c>
      <c r="G45" s="1" t="s">
        <v>54</v>
      </c>
      <c r="H45" s="15" t="s">
        <v>15</v>
      </c>
      <c r="J45" s="8" t="str">
        <f>IFERROR(__xludf.DUMMYFUNCTION("IF(ISBLANK(F45),""NA"", VLOOKUP(F45,IMPORTRANGE(""https://docs.google.com/spreadsheets/d/1EdCvim__xyxvoo9WoburDTzYylznTCOJBHcnu7eurMw/edit?gid=15948134#gid=15948134"", ""Purpose!A1:B1000""),2,FALSE()))"),"to train weights that capture domain dependent relationships")</f>
        <v>to train weights that capture domain dependent relationships</v>
      </c>
      <c r="K45" s="8" t="str">
        <f>IFERROR(__xludf.DUMMYFUNCTION("IF(ISBLANK(E45),""NA"", VLOOKUP(E45,IMPORTRANGE(""https://docs.google.com/spreadsheets/d/1EdCvim__xyxvoo9WoburDTzYylznTCOJBHcnu7eurMw/edit?gid=15948134#gid=15948134"", ""Technique!A1:B2000""),2,FALSE()))"),"use existing libraries (e.g., JAX, TensorFlow, keras, Theano, Pytorch, HuggingFace, Sklearn, FairStack)")</f>
        <v>use existing libraries (e.g., JAX, TensorFlow, keras, Theano, Pytorch, HuggingFace, Sklearn, FairStack)</v>
      </c>
      <c r="L45" s="8" t="str">
        <f>IFERROR(__xludf.DUMMYFUNCTION("IF(ISBLANK(D45),""NA"", VLOOKUP(D45,IMPORTRANGE(""https://docs.google.com/spreadsheets/d/1EdCvim__xyxvoo9WoburDTzYylznTCOJBHcnu7eurMw/edit?gid=15948134#gid=15948134"", ""Input!A1:B2000""),2,FALSE()))"),"model(s)' features")</f>
        <v>model(s)' features</v>
      </c>
    </row>
    <row r="46" hidden="1">
      <c r="A46" s="18" t="s">
        <v>128</v>
      </c>
      <c r="B46" s="1">
        <v>24.0</v>
      </c>
      <c r="C46" s="1" t="s">
        <v>161</v>
      </c>
      <c r="D46" s="1" t="s">
        <v>162</v>
      </c>
      <c r="E46" s="16" t="s">
        <v>163</v>
      </c>
      <c r="F46" s="14" t="s">
        <v>164</v>
      </c>
      <c r="G46" s="1" t="s">
        <v>20</v>
      </c>
      <c r="H46" s="15" t="s">
        <v>15</v>
      </c>
      <c r="J46" s="8" t="str">
        <f>IFERROR(__xludf.DUMMYFUNCTION("IF(ISBLANK(F46),""NA"", VLOOKUP(F46,IMPORTRANGE(""https://docs.google.com/spreadsheets/d/1EdCvim__xyxvoo9WoburDTzYylznTCOJBHcnu7eurMw/edit?gid=15948134#gid=15948134"", ""Purpose!A1:B1000""),2,FALSE()))"),"to select top relevant data points")</f>
        <v>to select top relevant data points</v>
      </c>
      <c r="K46" s="8" t="str">
        <f>IFERROR(__xludf.DUMMYFUNCTION("IF(ISBLANK(E46),""NA"", VLOOKUP(E46,IMPORTRANGE(""https://docs.google.com/spreadsheets/d/1EdCvim__xyxvoo9WoburDTzYylznTCOJBHcnu7eurMw/edit?gid=15948134#gid=15948134"", ""Technique!A1:B2000""),2,FALSE()))"),"compute score (i.e., use cosine similarity) between vector space models")</f>
        <v>compute score (i.e., use cosine similarity) between vector space models</v>
      </c>
      <c r="L46" s="8" t="str">
        <f>IFERROR(__xludf.DUMMYFUNCTION("IF(ISBLANK(D46),""NA"", VLOOKUP(D46,IMPORTRANGE(""https://docs.google.com/spreadsheets/d/1EdCvim__xyxvoo9WoburDTzYylznTCOJBHcnu7eurMw/edit?gid=15948134#gid=15948134"", ""Input!A1:B2000""),2,FALSE()))"),"vector representation (textual data, i.e., code and NLP)")</f>
        <v>vector representation (textual data, i.e., code and NLP)</v>
      </c>
    </row>
    <row r="47" hidden="1">
      <c r="A47" s="18" t="s">
        <v>128</v>
      </c>
      <c r="B47" s="1">
        <v>25.0</v>
      </c>
      <c r="C47" s="1" t="s">
        <v>161</v>
      </c>
      <c r="D47" s="1" t="s">
        <v>165</v>
      </c>
      <c r="E47" s="16" t="s">
        <v>166</v>
      </c>
      <c r="G47" s="1" t="s">
        <v>20</v>
      </c>
      <c r="H47" s="15" t="s">
        <v>15</v>
      </c>
      <c r="J47" s="8" t="str">
        <f>IFERROR(__xludf.DUMMYFUNCTION("IF(ISBLANK(F47),""NA"", VLOOKUP(F47,IMPORTRANGE(""https://docs.google.com/spreadsheets/d/1EdCvim__xyxvoo9WoburDTzYylznTCOJBHcnu7eurMw/edit?gid=15948134#gid=15948134"", ""Purpose!A1:B1000""),2,FALSE()))"),"NA")</f>
        <v>NA</v>
      </c>
      <c r="K47" s="8" t="str">
        <f>IFERROR(__xludf.DUMMYFUNCTION("IF(ISBLANK(E47),""NA"", VLOOKUP(E47,IMPORTRANGE(""https://docs.google.com/spreadsheets/d/1EdCvim__xyxvoo9WoburDTzYylznTCOJBHcnu7eurMw/edit?gid=15948134#gid=15948134"", ""Technique!A1:B2000""),2,FALSE()))"),"split data into train and test data, avoiding overlapping and considering time dependencies")</f>
        <v>split data into train and test data, avoiding overlapping and considering time dependencies</v>
      </c>
      <c r="L47" s="8" t="str">
        <f>IFERROR(__xludf.DUMMYFUNCTION("IF(ISBLANK(D47),""NA"", VLOOKUP(D47,IMPORTRANGE(""https://docs.google.com/spreadsheets/d/1EdCvim__xyxvoo9WoburDTzYylznTCOJBHcnu7eurMw/edit?gid=15948134#gid=15948134"", ""Input!A1:B2000""),2,FALSE()))"),"textual data (bug reports)")</f>
        <v>textual data (bug reports)</v>
      </c>
    </row>
    <row r="48" hidden="1">
      <c r="A48" s="18" t="s">
        <v>128</v>
      </c>
      <c r="B48" s="1">
        <v>26.0</v>
      </c>
      <c r="C48" s="1" t="s">
        <v>161</v>
      </c>
      <c r="D48" s="1" t="s">
        <v>167</v>
      </c>
      <c r="E48" s="16" t="s">
        <v>52</v>
      </c>
      <c r="F48" s="14" t="s">
        <v>168</v>
      </c>
      <c r="G48" s="1" t="s">
        <v>54</v>
      </c>
      <c r="H48" s="15" t="s">
        <v>15</v>
      </c>
      <c r="J48" s="8" t="str">
        <f>IFERROR(__xludf.DUMMYFUNCTION("IF(ISBLANK(F48),""NA"", VLOOKUP(F48,IMPORTRANGE(""https://docs.google.com/spreadsheets/d/1EdCvim__xyxvoo9WoburDTzYylznTCOJBHcnu7eurMw/edit?gid=15948134#gid=15948134"", ""Purpose!A1:B1000""),2,FALSE()))"),"to find the best parameters")</f>
        <v>to find the best parameters</v>
      </c>
      <c r="K48" s="8" t="str">
        <f>IFERROR(__xludf.DUMMYFUNCTION("IF(ISBLANK(E48),""NA"", VLOOKUP(E48,IMPORTRANGE(""https://docs.google.com/spreadsheets/d/1EdCvim__xyxvoo9WoburDTzYylznTCOJBHcnu7eurMw/edit?gid=15948134#gid=15948134"", ""Technique!A1:B2000""),2,FALSE()))"),"grid search")</f>
        <v>grid search</v>
      </c>
      <c r="L48" s="8" t="str">
        <f>IFERROR(__xludf.DUMMYFUNCTION("IF(ISBLANK(D48),""NA"", VLOOKUP(D48,IMPORTRANGE(""https://docs.google.com/spreadsheets/d/1EdCvim__xyxvoo9WoburDTzYylznTCOJBHcnu7eurMw/edit?gid=15948134#gid=15948134"", ""Input!A1:B2000""),2,FALSE()))"),"ranking model(s)")</f>
        <v>ranking model(s)</v>
      </c>
    </row>
    <row r="49" hidden="1">
      <c r="A49" s="18" t="s">
        <v>128</v>
      </c>
      <c r="B49" s="1">
        <v>9.0</v>
      </c>
      <c r="C49" s="8" t="s">
        <v>169</v>
      </c>
      <c r="D49" s="8" t="s">
        <v>170</v>
      </c>
      <c r="E49" s="9" t="s">
        <v>171</v>
      </c>
      <c r="F49" s="14" t="s">
        <v>172</v>
      </c>
      <c r="G49" s="8" t="s">
        <v>39</v>
      </c>
      <c r="H49" s="10" t="s">
        <v>15</v>
      </c>
      <c r="J49" s="8" t="str">
        <f>IFERROR(__xludf.DUMMYFUNCTION("IF(ISBLANK(F49),""NA"", VLOOKUP(F49,IMPORTRANGE(""https://docs.google.com/spreadsheets/d/1EdCvim__xyxvoo9WoburDTzYylznTCOJBHcnu7eurMw/edit?gid=15948134#gid=15948134"", ""Purpose!A1:B1000""),2,FALSE()))"),"to evaluate the model, when dataset is not big")</f>
        <v>to evaluate the model, when dataset is not big</v>
      </c>
      <c r="K49" s="8" t="str">
        <f>IFERROR(__xludf.DUMMYFUNCTION("IF(ISBLANK(E49),""NA"", VLOOKUP(E49,IMPORTRANGE(""https://docs.google.com/spreadsheets/d/1EdCvim__xyxvoo9WoburDTzYylznTCOJBHcnu7eurMw/edit?gid=15948134#gid=15948134"", ""Technique!A1:B2000""),2,FALSE()))"),"cross validation")</f>
        <v>cross validation</v>
      </c>
      <c r="L49" s="8" t="str">
        <f>IFERROR(__xludf.DUMMYFUNCTION("IF(ISBLANK(D49),""NA"", VLOOKUP(D49,IMPORTRANGE(""https://docs.google.com/spreadsheets/d/1EdCvim__xyxvoo9WoburDTzYylznTCOJBHcnu7eurMw/edit?gid=15948134#gid=15948134"", ""Input!A1:B2000""),2,FALSE()))"),"data")</f>
        <v>data</v>
      </c>
    </row>
    <row r="50" hidden="1">
      <c r="A50" s="18" t="s">
        <v>128</v>
      </c>
      <c r="B50" s="1">
        <v>10.0</v>
      </c>
      <c r="C50" s="8" t="s">
        <v>169</v>
      </c>
      <c r="D50" s="8" t="s">
        <v>170</v>
      </c>
      <c r="E50" s="9" t="s">
        <v>173</v>
      </c>
      <c r="F50" s="14" t="s">
        <v>38</v>
      </c>
      <c r="G50" s="8" t="s">
        <v>39</v>
      </c>
      <c r="H50" s="10" t="s">
        <v>15</v>
      </c>
      <c r="J50" s="8" t="str">
        <f>IFERROR(__xludf.DUMMYFUNCTION("IF(ISBLANK(F50),""NA"", VLOOKUP(F50,IMPORTRANGE(""https://docs.google.com/spreadsheets/d/1EdCvim__xyxvoo9WoburDTzYylznTCOJBHcnu7eurMw/edit?gid=15948134#gid=15948134"", ""Purpose!A1:B1000""),2,FALSE()))"),"to evaluate model(s) functionally (e.g., accuracy)")</f>
        <v>to evaluate model(s) functionally (e.g., accuracy)</v>
      </c>
      <c r="K50" s="8" t="str">
        <f>IFERROR(__xludf.DUMMYFUNCTION("IF(ISBLANK(E50),""NA"", VLOOKUP(E50,IMPORTRANGE(""https://docs.google.com/spreadsheets/d/1EdCvim__xyxvoo9WoburDTzYylznTCOJBHcnu7eurMw/edit?gid=15948134#gid=15948134"", ""Technique!A1:B2000""),2,FALSE()))"),"cross validation, time aware")</f>
        <v>cross validation, time aware</v>
      </c>
      <c r="L50" s="8" t="str">
        <f>IFERROR(__xludf.DUMMYFUNCTION("IF(ISBLANK(D50),""NA"", VLOOKUP(D50,IMPORTRANGE(""https://docs.google.com/spreadsheets/d/1EdCvim__xyxvoo9WoburDTzYylznTCOJBHcnu7eurMw/edit?gid=15948134#gid=15948134"", ""Input!A1:B2000""),2,FALSE()))"),"data")</f>
        <v>data</v>
      </c>
    </row>
    <row r="51" hidden="1">
      <c r="A51" s="18" t="s">
        <v>128</v>
      </c>
      <c r="B51" s="1" t="s">
        <v>174</v>
      </c>
      <c r="C51" s="1" t="s">
        <v>161</v>
      </c>
      <c r="D51" s="1" t="s">
        <v>175</v>
      </c>
      <c r="E51" s="14" t="s">
        <v>176</v>
      </c>
      <c r="F51" s="14" t="s">
        <v>38</v>
      </c>
      <c r="G51" s="1" t="s">
        <v>39</v>
      </c>
      <c r="H51" s="15" t="s">
        <v>15</v>
      </c>
      <c r="J51" s="8" t="str">
        <f>IFERROR(__xludf.DUMMYFUNCTION("IF(ISBLANK(F51),""NA"", VLOOKUP(F51,IMPORTRANGE(""https://docs.google.com/spreadsheets/d/1EdCvim__xyxvoo9WoburDTzYylznTCOJBHcnu7eurMw/edit?gid=15948134#gid=15948134"", ""Purpose!A1:B1000""),2,FALSE()))"),"to evaluate model(s) functionally (e.g., accuracy)")</f>
        <v>to evaluate model(s) functionally (e.g., accuracy)</v>
      </c>
      <c r="K51" s="8" t="str">
        <f>IFERROR(__xludf.DUMMYFUNCTION("IF(ISBLANK(E51),""NA"", VLOOKUP(E51,IMPORTRANGE(""https://docs.google.com/spreadsheets/d/1EdCvim__xyxvoo9WoburDTzYylznTCOJBHcnu7eurMw/edit?gid=15948134#gid=15948134"", ""Technique!A1:B2000""),2,FALSE()))"),"compute metrics (i.e., Mean Reciprocal Rank, Mean Average Rank, Accuracy@N)")</f>
        <v>compute metrics (i.e., Mean Reciprocal Rank, Mean Average Rank, Accuracy@N)</v>
      </c>
      <c r="L51" s="8" t="str">
        <f>IFERROR(__xludf.DUMMYFUNCTION("IF(ISBLANK(D51),""NA"", VLOOKUP(D51,IMPORTRANGE(""https://docs.google.com/spreadsheets/d/1EdCvim__xyxvoo9WoburDTzYylznTCOJBHcnu7eurMw/edit?gid=15948134#gid=15948134"", ""Input!A1:B2000""),2,FALSE()))"),"ranking model(s), svm")</f>
        <v>ranking model(s), svm</v>
      </c>
    </row>
    <row r="52" hidden="1">
      <c r="A52" s="18" t="s">
        <v>128</v>
      </c>
      <c r="B52" s="1">
        <v>29.0</v>
      </c>
      <c r="C52" s="1" t="s">
        <v>161</v>
      </c>
      <c r="D52" s="1" t="s">
        <v>177</v>
      </c>
      <c r="E52" s="14" t="s">
        <v>178</v>
      </c>
      <c r="F52" s="14" t="s">
        <v>63</v>
      </c>
      <c r="G52" s="1" t="s">
        <v>39</v>
      </c>
      <c r="H52" s="15" t="s">
        <v>15</v>
      </c>
      <c r="J52" s="8" t="str">
        <f>IFERROR(__xludf.DUMMYFUNCTION("IF(ISBLANK(F52),""NA"", VLOOKUP(F52,IMPORTRANGE(""https://docs.google.com/spreadsheets/d/1EdCvim__xyxvoo9WoburDTzYylznTCOJBHcnu7eurMw/edit?gid=15948134#gid=15948134"", ""Purpose!A1:B1000""),2,FALSE()))"),"to evaluate model(s) functionally (e.g., accuracy) against others")</f>
        <v>to evaluate model(s) functionally (e.g., accuracy) against others</v>
      </c>
      <c r="K52" s="8" t="str">
        <f>IFERROR(__xludf.DUMMYFUNCTION("IF(ISBLANK(E52),""NA"", VLOOKUP(E52,IMPORTRANGE(""https://docs.google.com/spreadsheets/d/1EdCvim__xyxvoo9WoburDTzYylznTCOJBHcnu7eurMw/edit?gid=15948134#gid=15948134"", ""Technique!A1:B2000""),2,FALSE()))"),"statistical test (Mann-Whitney-U)")</f>
        <v>statistical test (Mann-Whitney-U)</v>
      </c>
      <c r="L52" s="8" t="str">
        <f>IFERROR(__xludf.DUMMYFUNCTION("IF(ISBLANK(D52),""NA"", VLOOKUP(D52,IMPORTRANGE(""https://docs.google.com/spreadsheets/d/1EdCvim__xyxvoo9WoburDTzYylznTCOJBHcnu7eurMw/edit?gid=15948134#gid=15948134"", ""Input!A1:B2000""),2,FALSE()))"),"computed metrics of multiple models")</f>
        <v>computed metrics of multiple models</v>
      </c>
    </row>
    <row r="53" hidden="1">
      <c r="A53" s="18" t="s">
        <v>128</v>
      </c>
      <c r="B53" s="1">
        <v>30.0</v>
      </c>
      <c r="C53" s="1" t="s">
        <v>179</v>
      </c>
      <c r="D53" s="1" t="s">
        <v>180</v>
      </c>
      <c r="E53" s="14" t="s">
        <v>57</v>
      </c>
      <c r="F53" s="14" t="s">
        <v>181</v>
      </c>
      <c r="G53" s="1" t="s">
        <v>39</v>
      </c>
      <c r="H53" s="15" t="s">
        <v>15</v>
      </c>
      <c r="J53" s="8" t="str">
        <f>IFERROR(__xludf.DUMMYFUNCTION("IF(ISBLANK(F53),""NA"", VLOOKUP(F53,IMPORTRANGE(""https://docs.google.com/spreadsheets/d/1EdCvim__xyxvoo9WoburDTzYylznTCOJBHcnu7eurMw/edit?gid=15948134#gid=15948134"", ""Purpose!A1:B1000""),2,FALSE()))"),"to understand how different features affect the model results")</f>
        <v>to understand how different features affect the model results</v>
      </c>
      <c r="K53" s="8" t="str">
        <f>IFERROR(__xludf.DUMMYFUNCTION("IF(ISBLANK(E53),""NA"", VLOOKUP(E53,IMPORTRANGE(""https://docs.google.com/spreadsheets/d/1EdCvim__xyxvoo9WoburDTzYylznTCOJBHcnu7eurMw/edit?gid=15948134#gid=15948134"", ""Technique!A1:B2000""),2,FALSE()))"),"ablation study (vary features used)")</f>
        <v>ablation study (vary features used)</v>
      </c>
      <c r="L53" s="8" t="str">
        <f>IFERROR(__xludf.DUMMYFUNCTION("IF(ISBLANK(D53),""NA"", VLOOKUP(D53,IMPORTRANGE(""https://docs.google.com/spreadsheets/d/1EdCvim__xyxvoo9WoburDTzYylznTCOJBHcnu7eurMw/edit?gid=15948134#gid=15948134"", ""Input!A1:B2000""),2,FALSE()))"),"data + ranking model(s)")</f>
        <v>data + ranking model(s)</v>
      </c>
    </row>
    <row r="54" hidden="1">
      <c r="A54" s="18" t="s">
        <v>128</v>
      </c>
      <c r="B54" s="1">
        <v>31.0</v>
      </c>
      <c r="C54" s="1" t="s">
        <v>182</v>
      </c>
      <c r="D54" s="1" t="s">
        <v>183</v>
      </c>
      <c r="E54" s="14" t="s">
        <v>184</v>
      </c>
      <c r="F54" s="14" t="s">
        <v>185</v>
      </c>
      <c r="G54" s="1" t="s">
        <v>39</v>
      </c>
      <c r="H54" s="15" t="s">
        <v>15</v>
      </c>
      <c r="J54" s="8" t="str">
        <f>IFERROR(__xludf.DUMMYFUNCTION("IF(ISBLANK(F54),""NA"", VLOOKUP(F54,IMPORTRANGE(""https://docs.google.com/spreadsheets/d/1EdCvim__xyxvoo9WoburDTzYylznTCOJBHcnu7eurMw/edit?gid=15948134#gid=15948134"", ""Purpose!A1:B1000""),2,FALSE()))"),"to understand how different data sizes affects the model results")</f>
        <v>to understand how different data sizes affects the model results</v>
      </c>
      <c r="K54" s="8" t="str">
        <f>IFERROR(__xludf.DUMMYFUNCTION("IF(ISBLANK(E54),""NA"", VLOOKUP(E54,IMPORTRANGE(""https://docs.google.com/spreadsheets/d/1EdCvim__xyxvoo9WoburDTzYylznTCOJBHcnu7eurMw/edit?gid=15948134#gid=15948134"", ""Technique!A1:B2000""),2,FALSE()))"),"ablation study (vary dataset size)")</f>
        <v>ablation study (vary dataset size)</v>
      </c>
      <c r="L54" s="8" t="str">
        <f>IFERROR(__xludf.DUMMYFUNCTION("IF(ISBLANK(D54),""NA"", VLOOKUP(D54,IMPORTRANGE(""https://docs.google.com/spreadsheets/d/1EdCvim__xyxvoo9WoburDTzYylznTCOJBHcnu7eurMw/edit?gid=15948134#gid=15948134"", ""Input!A1:B2000""),2,FALSE()))"),"data + model(s)")</f>
        <v>data + model(s)</v>
      </c>
    </row>
    <row r="55" hidden="1">
      <c r="A55" s="18" t="s">
        <v>128</v>
      </c>
      <c r="B55" s="1">
        <v>32.0</v>
      </c>
      <c r="C55" s="1" t="s">
        <v>186</v>
      </c>
      <c r="D55" s="1" t="s">
        <v>187</v>
      </c>
      <c r="E55" s="14" t="s">
        <v>188</v>
      </c>
      <c r="F55" s="14" t="s">
        <v>127</v>
      </c>
      <c r="G55" s="1" t="s">
        <v>39</v>
      </c>
      <c r="H55" s="15" t="s">
        <v>15</v>
      </c>
      <c r="J55" s="8" t="str">
        <f>IFERROR(__xludf.DUMMYFUNCTION("IF(ISBLANK(F55),""NA"", VLOOKUP(F55,IMPORTRANGE(""https://docs.google.com/spreadsheets/d/1EdCvim__xyxvoo9WoburDTzYylznTCOJBHcnu7eurMw/edit?gid=15948134#gid=15948134"", ""Purpose!A1:B1000""),2,FALSE()))"),"to evaluate model(s) non-functional attributes (i.e., execution time)")</f>
        <v>to evaluate model(s) non-functional attributes (i.e., execution time)</v>
      </c>
      <c r="K55" s="8" t="str">
        <f>IFERROR(__xludf.DUMMYFUNCTION("IF(ISBLANK(E55),""NA"", VLOOKUP(E55,IMPORTRANGE(""https://docs.google.com/spreadsheets/d/1EdCvim__xyxvoo9WoburDTzYylznTCOJBHcnu7eurMw/edit?gid=15948134#gid=15948134"", ""Technique!A1:B2000""),2,FALSE()))"),"compute execution time + compute training time")</f>
        <v>compute execution time + compute training time</v>
      </c>
      <c r="L55" s="8" t="str">
        <f>IFERROR(__xludf.DUMMYFUNCTION("IF(ISBLANK(D55),""NA"", VLOOKUP(D55,IMPORTRANGE(""https://docs.google.com/spreadsheets/d/1EdCvim__xyxvoo9WoburDTzYylznTCOJBHcnu7eurMw/edit?gid=15948134#gid=15948134"", ""Input!A1:B2000""),2,FALSE()))"),"data (existing training sets) + model(s)")</f>
        <v>data (existing training sets) + model(s)</v>
      </c>
    </row>
    <row r="56" hidden="1">
      <c r="A56" s="1" t="s">
        <v>189</v>
      </c>
      <c r="B56" s="1">
        <v>11.0</v>
      </c>
      <c r="C56" s="1" t="s">
        <v>190</v>
      </c>
      <c r="D56" s="1" t="s">
        <v>191</v>
      </c>
      <c r="E56" s="16" t="s">
        <v>192</v>
      </c>
      <c r="F56" s="14" t="s">
        <v>193</v>
      </c>
      <c r="G56" s="1" t="s">
        <v>20</v>
      </c>
      <c r="H56" s="15" t="s">
        <v>194</v>
      </c>
      <c r="J56" s="8" t="str">
        <f>IFERROR(__xludf.DUMMYFUNCTION("IF(ISBLANK(F56),""NA"", VLOOKUP(F56,IMPORTRANGE(""https://docs.google.com/spreadsheets/d/1EdCvim__xyxvoo9WoburDTzYylznTCOJBHcnu7eurMw/edit?gid=15948134#gid=15948134"", ""Purpose!A1:B1000""),2,FALSE()))"),"to remove embedded code data and keep textual data")</f>
        <v>to remove embedded code data and keep textual data</v>
      </c>
      <c r="K56" s="8" t="str">
        <f>IFERROR(__xludf.DUMMYFUNCTION("IF(ISBLANK(E56),""NA"", VLOOKUP(E56,IMPORTRANGE(""https://docs.google.com/spreadsheets/d/1EdCvim__xyxvoo9WoburDTzYylznTCOJBHcnu7eurMw/edit?gid=15948134#gid=15948134"", ""Technique!A1:B2000""),2,FALSE()))"),"use a text-parsing tool")</f>
        <v>use a text-parsing tool</v>
      </c>
      <c r="L56" s="8" t="str">
        <f>IFERROR(__xludf.DUMMYFUNCTION("IF(ISBLANK(D56),""NA"", VLOOKUP(D56,IMPORTRANGE(""https://docs.google.com/spreadsheets/d/1EdCvim__xyxvoo9WoburDTzYylznTCOJBHcnu7eurMw/edit?gid=15948134#gid=15948134"", ""Input!A1:B2000""),2,FALSE()))"),"textual data (issues)")</f>
        <v>textual data (issues)</v>
      </c>
    </row>
    <row r="57" hidden="1">
      <c r="A57" s="1" t="s">
        <v>189</v>
      </c>
      <c r="B57" s="1">
        <v>12.0</v>
      </c>
      <c r="C57" s="1" t="s">
        <v>190</v>
      </c>
      <c r="D57" s="1" t="s">
        <v>195</v>
      </c>
      <c r="E57" s="16" t="s">
        <v>196</v>
      </c>
      <c r="F57" s="14" t="s">
        <v>197</v>
      </c>
      <c r="G57" s="1" t="s">
        <v>20</v>
      </c>
      <c r="H57" s="15" t="s">
        <v>194</v>
      </c>
      <c r="J57" s="8" t="str">
        <f>IFERROR(__xludf.DUMMYFUNCTION("IF(ISBLANK(F57),""NA"", VLOOKUP(F57,IMPORTRANGE(""https://docs.google.com/spreadsheets/d/1EdCvim__xyxvoo9WoburDTzYylznTCOJBHcnu7eurMw/edit?gid=15948134#gid=15948134"", ""Purpose!A1:B1000""),2,FALSE()))"),"to transform the data into the required input")</f>
        <v>to transform the data into the required input</v>
      </c>
      <c r="K57" s="8" t="str">
        <f>IFERROR(__xludf.DUMMYFUNCTION("IF(ISBLANK(E57),""NA"", VLOOKUP(E57,IMPORTRANGE(""https://docs.google.com/spreadsheets/d/1EdCvim__xyxvoo9WoburDTzYylznTCOJBHcnu7eurMw/edit?gid=15948134#gid=15948134"", ""Technique!A1:B2000""),2,FALSE()))"),"split textual data (i.e., NLP) into sentences")</f>
        <v>split textual data (i.e., NLP) into sentences</v>
      </c>
      <c r="L57" s="8" t="str">
        <f>IFERROR(__xludf.DUMMYFUNCTION("IF(ISBLANK(D57),""NA"", VLOOKUP(D57,IMPORTRANGE(""https://docs.google.com/spreadsheets/d/1EdCvim__xyxvoo9WoburDTzYylznTCOJBHcnu7eurMw/edit?gid=15948134#gid=15948134"", ""Input!A1:B2000""),2,FALSE()))"),"textual data (issues)")</f>
        <v>textual data (issues)</v>
      </c>
    </row>
    <row r="58" hidden="1">
      <c r="A58" s="1" t="s">
        <v>189</v>
      </c>
      <c r="B58" s="1" t="s">
        <v>74</v>
      </c>
      <c r="C58" s="1" t="s">
        <v>190</v>
      </c>
      <c r="D58" s="1" t="s">
        <v>198</v>
      </c>
      <c r="E58" s="16" t="s">
        <v>199</v>
      </c>
      <c r="F58" s="14" t="s">
        <v>197</v>
      </c>
      <c r="G58" s="1" t="s">
        <v>20</v>
      </c>
      <c r="H58" s="15" t="s">
        <v>194</v>
      </c>
      <c r="J58" s="8" t="str">
        <f>IFERROR(__xludf.DUMMYFUNCTION("IF(ISBLANK(F58),""NA"", VLOOKUP(F58,IMPORTRANGE(""https://docs.google.com/spreadsheets/d/1EdCvim__xyxvoo9WoburDTzYylznTCOJBHcnu7eurMw/edit?gid=15948134#gid=15948134"", ""Purpose!A1:B1000""),2,FALSE()))"),"to transform the data into the required input")</f>
        <v>to transform the data into the required input</v>
      </c>
      <c r="K58" s="8" t="str">
        <f>IFERROR(__xludf.DUMMYFUNCTION("IF(ISBLANK(E58),""NA"", VLOOKUP(E58,IMPORTRANGE(""https://docs.google.com/spreadsheets/d/1EdCvim__xyxvoo9WoburDTzYylznTCOJBHcnu7eurMw/edit?gid=15948134#gid=15948134"", ""Technique!A1:B2000""),2,FALSE()))"),"remove special characters")</f>
        <v>remove special characters</v>
      </c>
      <c r="L58" s="8" t="str">
        <f>IFERROR(__xludf.DUMMYFUNCTION("IF(ISBLANK(D58),""NA"", VLOOKUP(D58,IMPORTRANGE(""https://docs.google.com/spreadsheets/d/1EdCvim__xyxvoo9WoburDTzYylznTCOJBHcnu7eurMw/edit?gid=15948134#gid=15948134"", ""Input!A1:B2000""),2,FALSE()))"),"textual data (issues)")</f>
        <v>textual data (issues)</v>
      </c>
    </row>
    <row r="59" hidden="1">
      <c r="A59" s="1" t="s">
        <v>189</v>
      </c>
      <c r="B59" s="1" t="s">
        <v>200</v>
      </c>
      <c r="C59" s="1" t="s">
        <v>190</v>
      </c>
      <c r="D59" s="1" t="s">
        <v>198</v>
      </c>
      <c r="E59" s="16" t="s">
        <v>201</v>
      </c>
      <c r="F59" s="14" t="s">
        <v>197</v>
      </c>
      <c r="G59" s="1" t="s">
        <v>20</v>
      </c>
      <c r="H59" s="15" t="s">
        <v>194</v>
      </c>
      <c r="J59" s="8" t="str">
        <f>IFERROR(__xludf.DUMMYFUNCTION("IF(ISBLANK(F59),""NA"", VLOOKUP(F59,IMPORTRANGE(""https://docs.google.com/spreadsheets/d/1EdCvim__xyxvoo9WoburDTzYylznTCOJBHcnu7eurMw/edit?gid=15948134#gid=15948134"", ""Purpose!A1:B1000""),2,FALSE()))"),"to transform the data into the required input")</f>
        <v>to transform the data into the required input</v>
      </c>
      <c r="K59" s="8" t="str">
        <f>IFERROR(__xludf.DUMMYFUNCTION("IF(ISBLANK(E59),""NA"", VLOOKUP(E59,IMPORTRANGE(""https://docs.google.com/spreadsheets/d/1EdCvim__xyxvoo9WoburDTzYylznTCOJBHcnu7eurMw/edit?gid=15948134#gid=15948134"", ""Technique!A1:B2000""),2,FALSE()))"),"tokenize")</f>
        <v>tokenize</v>
      </c>
      <c r="L59" s="8" t="str">
        <f>IFERROR(__xludf.DUMMYFUNCTION("IF(ISBLANK(D59),""NA"", VLOOKUP(D59,IMPORTRANGE(""https://docs.google.com/spreadsheets/d/1EdCvim__xyxvoo9WoburDTzYylznTCOJBHcnu7eurMw/edit?gid=15948134#gid=15948134"", ""Input!A1:B2000""),2,FALSE()))"),"textual data (issues)")</f>
        <v>textual data (issues)</v>
      </c>
    </row>
    <row r="60" hidden="1">
      <c r="A60" s="1" t="s">
        <v>189</v>
      </c>
      <c r="B60" s="1" t="s">
        <v>202</v>
      </c>
      <c r="C60" s="1" t="s">
        <v>190</v>
      </c>
      <c r="D60" s="1" t="s">
        <v>198</v>
      </c>
      <c r="E60" s="16" t="s">
        <v>203</v>
      </c>
      <c r="F60" s="14" t="s">
        <v>197</v>
      </c>
      <c r="G60" s="1" t="s">
        <v>20</v>
      </c>
      <c r="H60" s="15" t="s">
        <v>194</v>
      </c>
      <c r="J60" s="8" t="str">
        <f>IFERROR(__xludf.DUMMYFUNCTION("IF(ISBLANK(F60),""NA"", VLOOKUP(F60,IMPORTRANGE(""https://docs.google.com/spreadsheets/d/1EdCvim__xyxvoo9WoburDTzYylznTCOJBHcnu7eurMw/edit?gid=15948134#gid=15948134"", ""Purpose!A1:B1000""),2,FALSE()))"),"to transform the data into the required input")</f>
        <v>to transform the data into the required input</v>
      </c>
      <c r="K60" s="8" t="str">
        <f>IFERROR(__xludf.DUMMYFUNCTION("IF(ISBLANK(E60),""NA"", VLOOKUP(E60,IMPORTRANGE(""https://docs.google.com/spreadsheets/d/1EdCvim__xyxvoo9WoburDTzYylznTCOJBHcnu7eurMw/edit?gid=15948134#gid=15948134"", ""Technique!A1:B2000""),2,FALSE()))"),"lowercase conversion")</f>
        <v>lowercase conversion</v>
      </c>
      <c r="L60" s="8" t="str">
        <f>IFERROR(__xludf.DUMMYFUNCTION("IF(ISBLANK(D60),""NA"", VLOOKUP(D60,IMPORTRANGE(""https://docs.google.com/spreadsheets/d/1EdCvim__xyxvoo9WoburDTzYylznTCOJBHcnu7eurMw/edit?gid=15948134#gid=15948134"", ""Input!A1:B2000""),2,FALSE()))"),"textual data (issues)")</f>
        <v>textual data (issues)</v>
      </c>
    </row>
    <row r="61" hidden="1">
      <c r="A61" s="1" t="s">
        <v>189</v>
      </c>
      <c r="B61" s="1">
        <v>16.0</v>
      </c>
      <c r="C61" s="1" t="s">
        <v>204</v>
      </c>
      <c r="D61" s="1" t="s">
        <v>205</v>
      </c>
      <c r="E61" s="14" t="s">
        <v>206</v>
      </c>
      <c r="F61" s="14" t="s">
        <v>207</v>
      </c>
      <c r="G61" s="1" t="s">
        <v>44</v>
      </c>
      <c r="H61" s="15" t="s">
        <v>194</v>
      </c>
      <c r="J61" s="8" t="str">
        <f>IFERROR(__xludf.DUMMYFUNCTION("IF(ISBLANK(F61),""NA"", VLOOKUP(F61,IMPORTRANGE(""https://docs.google.com/spreadsheets/d/1EdCvim__xyxvoo9WoburDTzYylznTCOJBHcnu7eurMw/edit?gid=15948134#gid=15948134"", ""Purpose!A1:B1000""),2,FALSE()))"),"to enable data sharing across multiple tasks")</f>
        <v>to enable data sharing across multiple tasks</v>
      </c>
      <c r="K61" s="8" t="str">
        <f>IFERROR(__xludf.DUMMYFUNCTION("IF(ISBLANK(E61),""NA"", VLOOKUP(E61,IMPORTRANGE(""https://docs.google.com/spreadsheets/d/1EdCvim__xyxvoo9WoburDTzYylznTCOJBHcnu7eurMw/edit?gid=15948134#gid=15948134"", ""Technique!A1:B2000""),2,FALSE()))"),"augment datasets")</f>
        <v>augment datasets</v>
      </c>
      <c r="L61" s="8" t="str">
        <f>IFERROR(__xludf.DUMMYFUNCTION("IF(ISBLANK(D61),""NA"", VLOOKUP(D61,IMPORTRANGE(""https://docs.google.com/spreadsheets/d/1EdCvim__xyxvoo9WoburDTzYylznTCOJBHcnu7eurMw/edit?gid=15948134#gid=15948134"", ""Input!A1:B2000""),2,FALSE()))"),"data")</f>
        <v>data</v>
      </c>
    </row>
    <row r="62" hidden="1">
      <c r="A62" s="1" t="s">
        <v>189</v>
      </c>
      <c r="B62" s="1" t="s">
        <v>208</v>
      </c>
      <c r="C62" s="1" t="s">
        <v>209</v>
      </c>
      <c r="D62" s="1" t="s">
        <v>210</v>
      </c>
      <c r="E62" s="16" t="s">
        <v>211</v>
      </c>
      <c r="F62" s="14" t="s">
        <v>212</v>
      </c>
      <c r="G62" s="1" t="s">
        <v>54</v>
      </c>
      <c r="H62" s="15" t="s">
        <v>194</v>
      </c>
      <c r="J62" s="8" t="str">
        <f>IFERROR(__xludf.DUMMYFUNCTION("IF(ISBLANK(F62),""NA"", VLOOKUP(F62,IMPORTRANGE(""https://docs.google.com/spreadsheets/d/1EdCvim__xyxvoo9WoburDTzYylznTCOJBHcnu7eurMw/edit?gid=15948134#gid=15948134"", ""Purpose!A1:B1000""),2,FALSE()))"),"to improve performance and accelerate the training process")</f>
        <v>to improve performance and accelerate the training process</v>
      </c>
      <c r="K62" s="8" t="str">
        <f>IFERROR(__xludf.DUMMYFUNCTION("IF(ISBLANK(E62),""NA"", VLOOKUP(E62,IMPORTRANGE(""https://docs.google.com/spreadsheets/d/1EdCvim__xyxvoo9WoburDTzYylznTCOJBHcnu7eurMw/edit?gid=15948134#gid=15948134"", ""Technique!A1:B2000""),2,FALSE()))"),"report model fine details (e.g., batch size)")</f>
        <v>report model fine details (e.g., batch size)</v>
      </c>
      <c r="L62" s="8" t="str">
        <f>IFERROR(__xludf.DUMMYFUNCTION("IF(ISBLANK(D62),""NA"", VLOOKUP(D62,IMPORTRANGE(""https://docs.google.com/spreadsheets/d/1EdCvim__xyxvoo9WoburDTzYylznTCOJBHcnu7eurMw/edit?gid=15948134#gid=15948134"", ""Input!A1:B2000""),2,FALSE()))"),"data")</f>
        <v>data</v>
      </c>
    </row>
    <row r="63" hidden="1">
      <c r="A63" s="1" t="s">
        <v>189</v>
      </c>
      <c r="B63" s="1" t="s">
        <v>213</v>
      </c>
      <c r="C63" s="1" t="s">
        <v>214</v>
      </c>
      <c r="D63" s="1" t="s">
        <v>215</v>
      </c>
      <c r="E63" s="16" t="s">
        <v>216</v>
      </c>
      <c r="F63" s="14" t="s">
        <v>217</v>
      </c>
      <c r="G63" s="1" t="s">
        <v>14</v>
      </c>
      <c r="H63" s="15" t="s">
        <v>194</v>
      </c>
      <c r="J63" s="8" t="str">
        <f>IFERROR(__xludf.DUMMYFUNCTION("IF(ISBLANK(F63),""NA"", VLOOKUP(F63,IMPORTRANGE(""https://docs.google.com/spreadsheets/d/1EdCvim__xyxvoo9WoburDTzYylznTCOJBHcnu7eurMw/edit?gid=15948134#gid=15948134"", ""Purpose!A1:B1000""),2,FALSE()))"),"to embed data preserving semantics")</f>
        <v>to embed data preserving semantics</v>
      </c>
      <c r="K63" s="8" t="str">
        <f>IFERROR(__xludf.DUMMYFUNCTION("IF(ISBLANK(E63),""NA"", VLOOKUP(E63,IMPORTRANGE(""https://docs.google.com/spreadsheets/d/1EdCvim__xyxvoo9WoburDTzYylznTCOJBHcnu7eurMw/edit?gid=15948134#gid=15948134"", ""Technique!A1:B2000""),2,FALSE()))"),"use embeddings, BERT")</f>
        <v>use embeddings, BERT</v>
      </c>
      <c r="L63" s="8" t="str">
        <f>IFERROR(__xludf.DUMMYFUNCTION("IF(ISBLANK(D63),""NA"", VLOOKUP(D63,IMPORTRANGE(""https://docs.google.com/spreadsheets/d/1EdCvim__xyxvoo9WoburDTzYylznTCOJBHcnu7eurMw/edit?gid=15948134#gid=15948134"", ""Input!A1:B2000""),2,FALSE()))"),"textual data (issues)")</f>
        <v>textual data (issues)</v>
      </c>
    </row>
    <row r="64" hidden="1">
      <c r="A64" s="1" t="s">
        <v>189</v>
      </c>
      <c r="B64" s="1" t="s">
        <v>218</v>
      </c>
      <c r="C64" s="1" t="s">
        <v>219</v>
      </c>
      <c r="D64" s="1" t="s">
        <v>215</v>
      </c>
      <c r="E64" s="16" t="s">
        <v>220</v>
      </c>
      <c r="F64" s="14" t="s">
        <v>221</v>
      </c>
      <c r="G64" s="1" t="s">
        <v>14</v>
      </c>
      <c r="H64" s="15" t="s">
        <v>194</v>
      </c>
      <c r="J64" s="8" t="str">
        <f>IFERROR(__xludf.DUMMYFUNCTION("IF(ISBLANK(F64),""NA"", VLOOKUP(F64,IMPORTRANGE(""https://docs.google.com/spreadsheets/d/1EdCvim__xyxvoo9WoburDTzYylznTCOJBHcnu7eurMw/edit?gid=15948134#gid=15948134"", ""Purpose!A1:B1000""),2,FALSE()))"),"to homogenize the lengths of the vectors")</f>
        <v>to homogenize the lengths of the vectors</v>
      </c>
      <c r="K64" s="8" t="str">
        <f>IFERROR(__xludf.DUMMYFUNCTION("IF(ISBLANK(E64),""NA"", VLOOKUP(E64,IMPORTRANGE(""https://docs.google.com/spreadsheets/d/1EdCvim__xyxvoo9WoburDTzYylznTCOJBHcnu7eurMw/edit?gid=15948134#gid=15948134"", ""Technique!A1:B2000""),2,FALSE()))"),"padding (i.e., add 0 at the end)")</f>
        <v>padding (i.e., add 0 at the end)</v>
      </c>
      <c r="L64" s="8" t="str">
        <f>IFERROR(__xludf.DUMMYFUNCTION("IF(ISBLANK(D64),""NA"", VLOOKUP(D64,IMPORTRANGE(""https://docs.google.com/spreadsheets/d/1EdCvim__xyxvoo9WoburDTzYylznTCOJBHcnu7eurMw/edit?gid=15948134#gid=15948134"", ""Input!A1:B2000""),2,FALSE()))"),"textual data (issues)")</f>
        <v>textual data (issues)</v>
      </c>
    </row>
    <row r="65" hidden="1">
      <c r="A65" s="1" t="s">
        <v>189</v>
      </c>
      <c r="B65" s="1" t="s">
        <v>95</v>
      </c>
      <c r="C65" s="1" t="s">
        <v>219</v>
      </c>
      <c r="D65" s="1" t="s">
        <v>215</v>
      </c>
      <c r="E65" s="16" t="s">
        <v>222</v>
      </c>
      <c r="F65" s="14" t="s">
        <v>221</v>
      </c>
      <c r="G65" s="1" t="s">
        <v>14</v>
      </c>
      <c r="H65" s="15" t="s">
        <v>194</v>
      </c>
      <c r="J65" s="8" t="str">
        <f>IFERROR(__xludf.DUMMYFUNCTION("IF(ISBLANK(F65),""NA"", VLOOKUP(F65,IMPORTRANGE(""https://docs.google.com/spreadsheets/d/1EdCvim__xyxvoo9WoburDTzYylznTCOJBHcnu7eurMw/edit?gid=15948134#gid=15948134"", ""Purpose!A1:B1000""),2,FALSE()))"),"to homogenize the lengths of the vectors")</f>
        <v>to homogenize the lengths of the vectors</v>
      </c>
      <c r="K65" s="8" t="str">
        <f>IFERROR(__xludf.DUMMYFUNCTION("IF(ISBLANK(E65),""NA"", VLOOKUP(E65,IMPORTRANGE(""https://docs.google.com/spreadsheets/d/1EdCvim__xyxvoo9WoburDTzYylznTCOJBHcnu7eurMw/edit?gid=15948134#gid=15948134"", ""Technique!A1:B2000""),2,FALSE()))"),"truncate instances with a length greater than X")</f>
        <v>truncate instances with a length greater than X</v>
      </c>
      <c r="L65" s="8" t="str">
        <f>IFERROR(__xludf.DUMMYFUNCTION("IF(ISBLANK(D65),""NA"", VLOOKUP(D65,IMPORTRANGE(""https://docs.google.com/spreadsheets/d/1EdCvim__xyxvoo9WoburDTzYylznTCOJBHcnu7eurMw/edit?gid=15948134#gid=15948134"", ""Input!A1:B2000""),2,FALSE()))"),"textual data (issues)")</f>
        <v>textual data (issues)</v>
      </c>
    </row>
    <row r="66" hidden="1">
      <c r="A66" s="1" t="s">
        <v>189</v>
      </c>
      <c r="B66" s="1">
        <v>21.0</v>
      </c>
      <c r="C66" s="1" t="s">
        <v>219</v>
      </c>
      <c r="D66" s="1" t="s">
        <v>223</v>
      </c>
      <c r="E66" s="16" t="s">
        <v>224</v>
      </c>
      <c r="F66" s="14" t="s">
        <v>225</v>
      </c>
      <c r="G66" s="1" t="s">
        <v>14</v>
      </c>
      <c r="H66" s="15" t="s">
        <v>194</v>
      </c>
      <c r="J66" s="8" t="str">
        <f>IFERROR(__xludf.DUMMYFUNCTION("IF(ISBLANK(F66),""NA"", VLOOKUP(F66,IMPORTRANGE(""https://docs.google.com/spreadsheets/d/1EdCvim__xyxvoo9WoburDTzYylznTCOJBHcnu7eurMw/edit?gid=15948134#gid=15948134"", ""Purpose!A1:B1000""),2,FALSE()))"),"to embed contextual information, enriching the sharing of information across different tasks")</f>
        <v>to embed contextual information, enriching the sharing of information across different tasks</v>
      </c>
      <c r="K66" s="8" t="str">
        <f>IFERROR(__xludf.DUMMYFUNCTION("IF(ISBLANK(E66),""NA"", VLOOKUP(E66,IMPORTRANGE(""https://docs.google.com/spreadsheets/d/1EdCvim__xyxvoo9WoburDTzYylznTCOJBHcnu7eurMw/edit?gid=15948134#gid=15948134"", ""Technique!A1:B2000""),2,FALSE()))"),"use embeddings, BI-LSTM")</f>
        <v>use embeddings, BI-LSTM</v>
      </c>
      <c r="L66" s="8" t="str">
        <f>IFERROR(__xludf.DUMMYFUNCTION("IF(ISBLANK(D66),""NA"", VLOOKUP(D66,IMPORTRANGE(""https://docs.google.com/spreadsheets/d/1EdCvim__xyxvoo9WoburDTzYylznTCOJBHcnu7eurMw/edit?gid=15948134#gid=15948134"", ""Input!A1:B2000""),2,FALSE()))"),"data (semantic vectors)")</f>
        <v>data (semantic vectors)</v>
      </c>
    </row>
    <row r="67" hidden="1">
      <c r="A67" s="1" t="s">
        <v>189</v>
      </c>
      <c r="B67" s="1" t="s">
        <v>226</v>
      </c>
      <c r="C67" s="1" t="s">
        <v>219</v>
      </c>
      <c r="D67" s="1" t="s">
        <v>227</v>
      </c>
      <c r="E67" s="16" t="s">
        <v>228</v>
      </c>
      <c r="F67" s="14" t="s">
        <v>229</v>
      </c>
      <c r="G67" s="1" t="s">
        <v>54</v>
      </c>
      <c r="H67" s="15" t="s">
        <v>194</v>
      </c>
      <c r="J67" s="8" t="str">
        <f>IFERROR(__xludf.DUMMYFUNCTION("IF(ISBLANK(F67),""NA"", VLOOKUP(F67,IMPORTRANGE(""https://docs.google.com/spreadsheets/d/1EdCvim__xyxvoo9WoburDTzYylznTCOJBHcnu7eurMw/edit?gid=15948134#gid=15948134"", ""Purpose!A1:B1000""),2,FALSE()))"),"to allow eavesdropping from one task to others tasks, when training multi-task models")</f>
        <v>to allow eavesdropping from one task to others tasks, when training multi-task models</v>
      </c>
      <c r="K67" s="8" t="str">
        <f>IFERROR(__xludf.DUMMYFUNCTION("IF(ISBLANK(E67),""NA"", VLOOKUP(E67,IMPORTRANGE(""https://docs.google.com/spreadsheets/d/1EdCvim__xyxvoo9WoburDTzYylznTCOJBHcnu7eurMw/edit?gid=15948134#gid=15948134"", ""Technique!A1:B2000""),2,FALSE()))"),"report model fine details (e.g., loss: independent and principled shared loss)")</f>
        <v>report model fine details (e.g., loss: independent and principled shared loss)</v>
      </c>
      <c r="L67" s="8" t="str">
        <f>IFERROR(__xludf.DUMMYFUNCTION("IF(ISBLANK(D67),""NA"", VLOOKUP(D67,IMPORTRANGE(""https://docs.google.com/spreadsheets/d/1EdCvim__xyxvoo9WoburDTzYylznTCOJBHcnu7eurMw/edit?gid=15948134#gid=15948134"", ""Input!A1:B2000""),2,FALSE()))"),"embeddings + model(s)")</f>
        <v>embeddings + model(s)</v>
      </c>
    </row>
    <row r="68" hidden="1">
      <c r="A68" s="1" t="s">
        <v>189</v>
      </c>
      <c r="B68" s="1" t="s">
        <v>107</v>
      </c>
      <c r="C68" s="1" t="s">
        <v>219</v>
      </c>
      <c r="D68" s="1" t="s">
        <v>230</v>
      </c>
      <c r="E68" s="16" t="s">
        <v>231</v>
      </c>
      <c r="F68" s="1" t="s">
        <v>33</v>
      </c>
      <c r="G68" s="1" t="s">
        <v>54</v>
      </c>
      <c r="H68" s="15" t="s">
        <v>194</v>
      </c>
      <c r="J68" s="8" t="str">
        <f>IFERROR(__xludf.DUMMYFUNCTION("IF(ISBLANK(F68),""NA"", VLOOKUP(F68,IMPORTRANGE(""https://docs.google.com/spreadsheets/d/1EdCvim__xyxvoo9WoburDTzYylznTCOJBHcnu7eurMw/edit?gid=15948134#gid=15948134"", ""Purpose!A1:B1000""),2,FALSE()))"),"")</f>
        <v/>
      </c>
      <c r="K68" s="8" t="str">
        <f>IFERROR(__xludf.DUMMYFUNCTION("IF(ISBLANK(E68),""NA"", VLOOKUP(E68,IMPORTRANGE(""https://docs.google.com/spreadsheets/d/1EdCvim__xyxvoo9WoburDTzYylznTCOJBHcnu7eurMw/edit?gid=15948134#gid=15948134"", ""Technique!A1:B2000""),2,FALSE()))"),"early stopping")</f>
        <v>early stopping</v>
      </c>
      <c r="L68" s="8" t="str">
        <f>IFERROR(__xludf.DUMMYFUNCTION("IF(ISBLANK(D68),""NA"", VLOOKUP(D68,IMPORTRANGE(""https://docs.google.com/spreadsheets/d/1EdCvim__xyxvoo9WoburDTzYylznTCOJBHcnu7eurMw/edit?gid=15948134#gid=15948134"", ""Input!A1:B2000""),2,FALSE()))"),"textual data (issues) + multitask learning model(s) (BERT with LSTM and extra layers) ")</f>
        <v>textual data (issues) + multitask learning model(s) (BERT with LSTM and extra layers) </v>
      </c>
    </row>
    <row r="69" hidden="1">
      <c r="A69" s="1" t="s">
        <v>189</v>
      </c>
      <c r="B69" s="1" t="s">
        <v>232</v>
      </c>
      <c r="C69" s="1" t="s">
        <v>233</v>
      </c>
      <c r="D69" s="1" t="s">
        <v>234</v>
      </c>
      <c r="E69" s="16" t="s">
        <v>235</v>
      </c>
      <c r="F69" s="14" t="s">
        <v>236</v>
      </c>
      <c r="G69" s="1" t="s">
        <v>54</v>
      </c>
      <c r="H69" s="15" t="s">
        <v>194</v>
      </c>
      <c r="J69" s="8" t="str">
        <f>IFERROR(__xludf.DUMMYFUNCTION("IF(ISBLANK(F69),""NA"", VLOOKUP(F69,IMPORTRANGE(""https://docs.google.com/spreadsheets/d/1EdCvim__xyxvoo9WoburDTzYylznTCOJBHcnu7eurMw/edit?gid=15948134#gid=15948134"", ""Purpose!A1:B1000""),2,FALSE()))"),"to find the best hyperparameters in general")</f>
        <v>to find the best hyperparameters in general</v>
      </c>
      <c r="K69" s="8" t="str">
        <f>IFERROR(__xludf.DUMMYFUNCTION("IF(ISBLANK(E69),""NA"", VLOOKUP(E69,IMPORTRANGE(""https://docs.google.com/spreadsheets/d/1EdCvim__xyxvoo9WoburDTzYylznTCOJBHcnu7eurMw/edit?gid=15948134#gid=15948134"", ""Technique!A1:B2000""),2,FALSE()))"),"hyperparameter tuning using Gredy tuning")</f>
        <v>hyperparameter tuning using Gredy tuning</v>
      </c>
      <c r="L69" s="8" t="str">
        <f>IFERROR(__xludf.DUMMYFUNCTION("IF(ISBLANK(D69),""NA"", VLOOKUP(D69,IMPORTRANGE(""https://docs.google.com/spreadsheets/d/1EdCvim__xyxvoo9WoburDTzYylznTCOJBHcnu7eurMw/edit?gid=15948134#gid=15948134"", ""Input!A1:B2000""),2,FALSE()))"),"data + model(s)")</f>
        <v>data + model(s)</v>
      </c>
    </row>
    <row r="70" hidden="1">
      <c r="A70" s="1" t="s">
        <v>189</v>
      </c>
      <c r="B70" s="1">
        <v>9.0</v>
      </c>
      <c r="C70" s="1" t="s">
        <v>233</v>
      </c>
      <c r="E70" s="14" t="s">
        <v>237</v>
      </c>
      <c r="F70" s="14" t="s">
        <v>238</v>
      </c>
      <c r="G70" s="1" t="s">
        <v>39</v>
      </c>
      <c r="H70" s="15" t="s">
        <v>194</v>
      </c>
      <c r="J70" s="8" t="str">
        <f>IFERROR(__xludf.DUMMYFUNCTION("IF(ISBLANK(F70),""NA"", VLOOKUP(F70,IMPORTRANGE(""https://docs.google.com/spreadsheets/d/1EdCvim__xyxvoo9WoburDTzYylznTCOJBHcnu7eurMw/edit?gid=15948134#gid=15948134"", ""Purpose!A1:B1000""),2,FALSE()))"),"to understand the model(s) sensitivity of different hyperparameters")</f>
        <v>to understand the model(s) sensitivity of different hyperparameters</v>
      </c>
      <c r="K70" s="8" t="str">
        <f>IFERROR(__xludf.DUMMYFUNCTION("IF(ISBLANK(E70),""NA"", VLOOKUP(E70,IMPORTRANGE(""https://docs.google.com/spreadsheets/d/1EdCvim__xyxvoo9WoburDTzYylznTCOJBHcnu7eurMw/edit?gid=15948134#gid=15948134"", ""Technique!A1:B2000""),2,FALSE()))"),"perform hyperparameter sensitivity analysis")</f>
        <v>perform hyperparameter sensitivity analysis</v>
      </c>
      <c r="L70" s="8" t="str">
        <f>IFERROR(__xludf.DUMMYFUNCTION("IF(ISBLANK(D70),""NA"", VLOOKUP(D70,IMPORTRANGE(""https://docs.google.com/spreadsheets/d/1EdCvim__xyxvoo9WoburDTzYylznTCOJBHcnu7eurMw/edit?gid=15948134#gid=15948134"", ""Input!A1:B2000""),2,FALSE()))"),"NA")</f>
        <v>NA</v>
      </c>
    </row>
    <row r="71" hidden="1">
      <c r="A71" s="1" t="s">
        <v>189</v>
      </c>
      <c r="B71" s="1">
        <v>25.0</v>
      </c>
      <c r="C71" s="1" t="s">
        <v>239</v>
      </c>
      <c r="D71" s="1" t="s">
        <v>33</v>
      </c>
      <c r="E71" s="14" t="s">
        <v>240</v>
      </c>
      <c r="F71" s="14" t="s">
        <v>98</v>
      </c>
      <c r="G71" s="1" t="s">
        <v>44</v>
      </c>
      <c r="H71" s="15" t="s">
        <v>194</v>
      </c>
      <c r="J71" s="8" t="str">
        <f>IFERROR(__xludf.DUMMYFUNCTION("IF(ISBLANK(F71),""NA"", VLOOKUP(F71,IMPORTRANGE(""https://docs.google.com/spreadsheets/d/1EdCvim__xyxvoo9WoburDTzYylznTCOJBHcnu7eurMw/edit?gid=15948134#gid=15948134"", ""Purpose!A1:B1000""),2,FALSE()))"),"to collect data")</f>
        <v>to collect data</v>
      </c>
      <c r="K71" s="8" t="str">
        <f>IFERROR(__xludf.DUMMYFUNCTION("IF(ISBLANK(E71),""NA"", VLOOKUP(E71,IMPORTRANGE(""https://docs.google.com/spreadsheets/d/1EdCvim__xyxvoo9WoburDTzYylznTCOJBHcnu7eurMw/edit?gid=15948134#gid=15948134"", ""Technique!A1:B2000""),2,FALSE()))"),"collect own data from open-source projects")</f>
        <v>collect own data from open-source projects</v>
      </c>
      <c r="L71" s="8" t="str">
        <f>IFERROR(__xludf.DUMMYFUNCTION("IF(ISBLANK(D71),""NA"", VLOOKUP(D71,IMPORTRANGE(""https://docs.google.com/spreadsheets/d/1EdCvim__xyxvoo9WoburDTzYylznTCOJBHcnu7eurMw/edit?gid=15948134#gid=15948134"", ""Input!A1:B2000""),2,FALSE()))"),"")</f>
        <v/>
      </c>
    </row>
    <row r="72" hidden="1">
      <c r="A72" s="1" t="s">
        <v>189</v>
      </c>
      <c r="B72" s="1">
        <v>26.0</v>
      </c>
      <c r="C72" s="1" t="s">
        <v>239</v>
      </c>
      <c r="D72" s="1" t="s">
        <v>241</v>
      </c>
      <c r="E72" s="14" t="s">
        <v>242</v>
      </c>
      <c r="F72" s="14" t="s">
        <v>98</v>
      </c>
      <c r="G72" s="1" t="s">
        <v>44</v>
      </c>
      <c r="H72" s="15" t="s">
        <v>194</v>
      </c>
      <c r="J72" s="8" t="str">
        <f>IFERROR(__xludf.DUMMYFUNCTION("IF(ISBLANK(F72),""NA"", VLOOKUP(F72,IMPORTRANGE(""https://docs.google.com/spreadsheets/d/1EdCvim__xyxvoo9WoburDTzYylznTCOJBHcnu7eurMw/edit?gid=15948134#gid=15948134"", ""Purpose!A1:B1000""),2,FALSE()))"),"to collect data")</f>
        <v>to collect data</v>
      </c>
      <c r="K72" s="8" t="str">
        <f>IFERROR(__xludf.DUMMYFUNCTION("IF(ISBLANK(E72),""NA"", VLOOKUP(E72,IMPORTRANGE(""https://docs.google.com/spreadsheets/d/1EdCvim__xyxvoo9WoburDTzYylznTCOJBHcnu7eurMw/edit?gid=15948134#gid=15948134"", ""Technique!A1:B2000""),2,FALSE()))"),"sample randomly equal amount of positive and negative samples")</f>
        <v>sample randomly equal amount of positive and negative samples</v>
      </c>
      <c r="L72" s="8" t="str">
        <f>IFERROR(__xludf.DUMMYFUNCTION("IF(ISBLANK(D72),""NA"", VLOOKUP(D72,IMPORTRANGE(""https://docs.google.com/spreadsheets/d/1EdCvim__xyxvoo9WoburDTzYylznTCOJBHcnu7eurMw/edit?gid=15948134#gid=15948134"", ""Input!A1:B2000""),2,FALSE()))"),"code data (open source)")</f>
        <v>code data (open source)</v>
      </c>
    </row>
    <row r="73" hidden="1">
      <c r="A73" s="1" t="s">
        <v>189</v>
      </c>
      <c r="B73" s="1">
        <v>27.0</v>
      </c>
      <c r="C73" s="1" t="s">
        <v>239</v>
      </c>
      <c r="D73" s="1" t="s">
        <v>241</v>
      </c>
      <c r="E73" s="14" t="s">
        <v>243</v>
      </c>
      <c r="F73" s="14" t="s">
        <v>244</v>
      </c>
      <c r="G73" s="1" t="s">
        <v>106</v>
      </c>
      <c r="H73" s="15" t="s">
        <v>194</v>
      </c>
      <c r="J73" s="8" t="str">
        <f>IFERROR(__xludf.DUMMYFUNCTION("IF(ISBLANK(F73),""NA"", VLOOKUP(F73,IMPORTRANGE(""https://docs.google.com/spreadsheets/d/1EdCvim__xyxvoo9WoburDTzYylznTCOJBHcnu7eurMw/edit?gid=15948134#gid=15948134"", ""Purpose!A1:B1000""),2,FALSE()))"),"to assign a final/verified label to the instances")</f>
        <v>to assign a final/verified label to the instances</v>
      </c>
      <c r="K73" s="8" t="str">
        <f>IFERROR(__xludf.DUMMYFUNCTION("IF(ISBLANK(E73),""NA"", VLOOKUP(E73,IMPORTRANGE(""https://docs.google.com/spreadsheets/d/1EdCvim__xyxvoo9WoburDTzYylznTCOJBHcnu7eurMw/edit?gid=15948134#gid=15948134"", ""Technique!A1:B2000""),2,FALSE()))"),"correct labels (collected/automatic labeled)")</f>
        <v>correct labels (collected/automatic labeled)</v>
      </c>
      <c r="L73" s="8" t="str">
        <f>IFERROR(__xludf.DUMMYFUNCTION("IF(ISBLANK(D73),""NA"", VLOOKUP(D73,IMPORTRANGE(""https://docs.google.com/spreadsheets/d/1EdCvim__xyxvoo9WoburDTzYylznTCOJBHcnu7eurMw/edit?gid=15948134#gid=15948134"", ""Input!A1:B2000""),2,FALSE()))"),"code data (open source)")</f>
        <v>code data (open source)</v>
      </c>
    </row>
    <row r="74" hidden="1">
      <c r="A74" s="1" t="s">
        <v>189</v>
      </c>
      <c r="B74" s="1">
        <v>28.0</v>
      </c>
      <c r="C74" s="1" t="s">
        <v>245</v>
      </c>
      <c r="D74" s="1" t="s">
        <v>246</v>
      </c>
      <c r="E74" s="16" t="s">
        <v>247</v>
      </c>
      <c r="F74" s="14" t="s">
        <v>248</v>
      </c>
      <c r="G74" s="1" t="s">
        <v>54</v>
      </c>
      <c r="H74" s="15" t="s">
        <v>194</v>
      </c>
      <c r="J74" s="8" t="str">
        <f>IFERROR(__xludf.DUMMYFUNCTION("IF(ISBLANK(F74),""NA"", VLOOKUP(F74,IMPORTRANGE(""https://docs.google.com/spreadsheets/d/1EdCvim__xyxvoo9WoburDTzYylznTCOJBHcnu7eurMw/edit?gid=15948134#gid=15948134"", ""Purpose!A1:B1000""),2,FALSE()))"),"to train the model(s)")</f>
        <v>to train the model(s)</v>
      </c>
      <c r="K74" s="8" t="str">
        <f>IFERROR(__xludf.DUMMYFUNCTION("IF(ISBLANK(E74),""NA"", VLOOKUP(E74,IMPORTRANGE(""https://docs.google.com/spreadsheets/d/1EdCvim__xyxvoo9WoburDTzYylznTCOJBHcnu7eurMw/edit?gid=15948134#gid=15948134"", ""Technique!A1:B2000""),2,FALSE()))"),"cross validation")</f>
        <v>cross validation</v>
      </c>
      <c r="L74" s="8" t="str">
        <f>IFERROR(__xludf.DUMMYFUNCTION("IF(ISBLANK(D74),""NA"", VLOOKUP(D74,IMPORTRANGE(""https://docs.google.com/spreadsheets/d/1EdCvim__xyxvoo9WoburDTzYylznTCOJBHcnu7eurMw/edit?gid=15948134#gid=15948134"", ""Input!A1:B2000""),2,FALSE()))"),"textual data (issues) + multitask learning model(s) (BERT with LSTM and extra layers) + single task model(s) (CNN-based classifier and Rule-based Classifier)")</f>
        <v>textual data (issues) + multitask learning model(s) (BERT with LSTM and extra layers) + single task model(s) (CNN-based classifier and Rule-based Classifier)</v>
      </c>
    </row>
    <row r="75" hidden="1">
      <c r="A75" s="1" t="s">
        <v>189</v>
      </c>
      <c r="B75" s="1" t="s">
        <v>249</v>
      </c>
      <c r="C75" s="1" t="s">
        <v>250</v>
      </c>
      <c r="D75" s="1" t="s">
        <v>251</v>
      </c>
      <c r="E75" s="14" t="s">
        <v>252</v>
      </c>
      <c r="F75" s="14" t="s">
        <v>38</v>
      </c>
      <c r="G75" s="1" t="s">
        <v>39</v>
      </c>
      <c r="H75" s="15" t="s">
        <v>194</v>
      </c>
      <c r="J75" s="8" t="str">
        <f>IFERROR(__xludf.DUMMYFUNCTION("IF(ISBLANK(F75),""NA"", VLOOKUP(F75,IMPORTRANGE(""https://docs.google.com/spreadsheets/d/1EdCvim__xyxvoo9WoburDTzYylznTCOJBHcnu7eurMw/edit?gid=15948134#gid=15948134"", ""Purpose!A1:B1000""),2,FALSE()))"),"to evaluate model(s) functionally (e.g., accuracy)")</f>
        <v>to evaluate model(s) functionally (e.g., accuracy)</v>
      </c>
      <c r="K75" s="8" t="str">
        <f>IFERROR(__xludf.DUMMYFUNCTION("IF(ISBLANK(E75),""NA"", VLOOKUP(E75,IMPORTRANGE(""https://docs.google.com/spreadsheets/d/1EdCvim__xyxvoo9WoburDTzYylznTCOJBHcnu7eurMw/edit?gid=15948134#gid=15948134"", ""Technique!A1:B2000""),2,FALSE()))"),"compute classical metrics (i.e., Accuracy, Precision, Recall)")</f>
        <v>compute classical metrics (i.e., Accuracy, Precision, Recall)</v>
      </c>
      <c r="L75" s="8" t="str">
        <f>IFERROR(__xludf.DUMMYFUNCTION("IF(ISBLANK(D75),""NA"", VLOOKUP(D75,IMPORTRANGE(""https://docs.google.com/spreadsheets/d/1EdCvim__xyxvoo9WoburDTzYylznTCOJBHcnu7eurMw/edit?gid=15948134#gid=15948134"", ""Input!A1:B2000""),2,FALSE()))"),"data + model(s)")</f>
        <v>data + model(s)</v>
      </c>
    </row>
    <row r="76" hidden="1">
      <c r="A76" s="1" t="s">
        <v>189</v>
      </c>
      <c r="B76" s="1" t="s">
        <v>253</v>
      </c>
      <c r="C76" s="1" t="s">
        <v>250</v>
      </c>
      <c r="D76" s="1" t="s">
        <v>251</v>
      </c>
      <c r="E76" s="14" t="s">
        <v>254</v>
      </c>
      <c r="F76" s="14" t="s">
        <v>255</v>
      </c>
      <c r="G76" s="1" t="s">
        <v>39</v>
      </c>
      <c r="H76" s="15" t="s">
        <v>194</v>
      </c>
      <c r="J76" s="8" t="str">
        <f>IFERROR(__xludf.DUMMYFUNCTION("IF(ISBLANK(F76),""NA"", VLOOKUP(F76,IMPORTRANGE(""https://docs.google.com/spreadsheets/d/1EdCvim__xyxvoo9WoburDTzYylznTCOJBHcnu7eurMw/edit?gid=15948134#gid=15948134"", ""Purpose!A1:B1000""),2,FALSE()))"),"to evaluate model(s) functionally (e.g., accuracy) against others")</f>
        <v>to evaluate model(s) functionally (e.g., accuracy) against others</v>
      </c>
      <c r="K76" s="8" t="str">
        <f>IFERROR(__xludf.DUMMYFUNCTION("IF(ISBLANK(E76),""NA"", VLOOKUP(E76,IMPORTRANGE(""https://docs.google.com/spreadsheets/d/1EdCvim__xyxvoo9WoburDTzYylznTCOJBHcnu7eurMw/edit?gid=15948134#gid=15948134"", ""Technique!A1:B2000""),2,FALSE()))"),"compare directly with other approaches (no statistical tests) + compare with baseline model(s), deep learning (CNN), non ml (Rule based classifier)")</f>
        <v>compare directly with other approaches (no statistical tests) + compare with baseline model(s), deep learning (CNN), non ml (Rule based classifier)</v>
      </c>
      <c r="L76" s="8" t="str">
        <f>IFERROR(__xludf.DUMMYFUNCTION("IF(ISBLANK(D76),""NA"", VLOOKUP(D76,IMPORTRANGE(""https://docs.google.com/spreadsheets/d/1EdCvim__xyxvoo9WoburDTzYylznTCOJBHcnu7eurMw/edit?gid=15948134#gid=15948134"", ""Input!A1:B2000""),2,FALSE()))"),"data + model(s)")</f>
        <v>data + model(s)</v>
      </c>
    </row>
    <row r="77" hidden="1">
      <c r="A77" s="1" t="s">
        <v>256</v>
      </c>
      <c r="B77" s="1">
        <v>1.0</v>
      </c>
      <c r="C77" s="1" t="s">
        <v>257</v>
      </c>
      <c r="D77" s="1" t="s">
        <v>258</v>
      </c>
      <c r="E77" s="16" t="s">
        <v>259</v>
      </c>
      <c r="G77" s="1" t="s">
        <v>20</v>
      </c>
      <c r="H77" s="15" t="s">
        <v>260</v>
      </c>
      <c r="J77" s="8" t="str">
        <f>IFERROR(__xludf.DUMMYFUNCTION("IF(ISBLANK(F77),""NA"", VLOOKUP(F77,IMPORTRANGE(""https://docs.google.com/spreadsheets/d/1EdCvim__xyxvoo9WoburDTzYylznTCOJBHcnu7eurMw/edit?gid=15948134#gid=15948134"", ""Purpose!A1:B1000""),2,FALSE()))"),"NA")</f>
        <v>NA</v>
      </c>
      <c r="K77" s="8" t="str">
        <f>IFERROR(__xludf.DUMMYFUNCTION("IF(ISBLANK(E77),""NA"", VLOOKUP(E77,IMPORTRANGE(""https://docs.google.com/spreadsheets/d/1EdCvim__xyxvoo9WoburDTzYylznTCOJBHcnu7eurMw/edit?gid=15948134#gid=15948134"", ""Technique!A1:B2000""),2,FALSE()))"),"convert programm into context free grammar")</f>
        <v>convert programm into context free grammar</v>
      </c>
      <c r="L77" s="8" t="str">
        <f>IFERROR(__xludf.DUMMYFUNCTION("IF(ISBLANK(D77),""NA"", VLOOKUP(D77,IMPORTRANGE(""https://docs.google.com/spreadsheets/d/1EdCvim__xyxvoo9WoburDTzYylznTCOJBHcnu7eurMw/edit?gid=15948134#gid=15948134"", ""Input!A1:B2000""),2,FALSE()))"),"parse tree (program)")</f>
        <v>parse tree (program)</v>
      </c>
    </row>
    <row r="78" hidden="1">
      <c r="A78" s="1" t="s">
        <v>256</v>
      </c>
      <c r="B78" s="1" t="s">
        <v>261</v>
      </c>
      <c r="C78" s="1" t="s">
        <v>262</v>
      </c>
      <c r="D78" s="1" t="s">
        <v>263</v>
      </c>
      <c r="E78" s="14" t="s">
        <v>264</v>
      </c>
      <c r="F78" s="14" t="s">
        <v>265</v>
      </c>
      <c r="G78" s="1" t="s">
        <v>14</v>
      </c>
      <c r="H78" s="15" t="s">
        <v>260</v>
      </c>
      <c r="J78" s="8" t="str">
        <f>IFERROR(__xludf.DUMMYFUNCTION("IF(ISBLANK(F78),""NA"", VLOOKUP(F78,IMPORTRANGE(""https://docs.google.com/spreadsheets/d/1EdCvim__xyxvoo9WoburDTzYylznTCOJBHcnu7eurMw/edit?gid=15948134#gid=15948134"", ""Purpose!A1:B1000""),2,FALSE()))"),"to encode data (i.e., production rules) into a vector representation (i.e, binary features)")</f>
        <v>to encode data (i.e., production rules) into a vector representation (i.e, binary features)</v>
      </c>
      <c r="K78" s="8" t="str">
        <f>IFERROR(__xludf.DUMMYFUNCTION("IF(ISBLANK(E78),""NA"", VLOOKUP(E78,IMPORTRANGE(""https://docs.google.com/spreadsheets/d/1EdCvim__xyxvoo9WoburDTzYylznTCOJBHcnu7eurMw/edit?gid=15948134#gid=15948134"", ""Technique!A1:B2000""),2,FALSE()))"),"encode with one hot encoding")</f>
        <v>encode with one hot encoding</v>
      </c>
      <c r="L78" s="8" t="str">
        <f>IFERROR(__xludf.DUMMYFUNCTION("IF(ISBLANK(D78),""NA"", VLOOKUP(D78,IMPORTRANGE(""https://docs.google.com/spreadsheets/d/1EdCvim__xyxvoo9WoburDTzYylznTCOJBHcnu7eurMw/edit?gid=15948134#gid=15948134"", ""Input!A1:B2000""),2,FALSE()))"),"parse tree (production rules)")</f>
        <v>parse tree (production rules)</v>
      </c>
    </row>
    <row r="79" hidden="1">
      <c r="A79" s="1" t="s">
        <v>256</v>
      </c>
      <c r="B79" s="1" t="s">
        <v>266</v>
      </c>
      <c r="C79" s="1" t="s">
        <v>262</v>
      </c>
      <c r="D79" s="1" t="s">
        <v>263</v>
      </c>
      <c r="E79" s="14" t="s">
        <v>267</v>
      </c>
      <c r="F79" s="14" t="s">
        <v>265</v>
      </c>
      <c r="G79" s="1" t="s">
        <v>14</v>
      </c>
      <c r="H79" s="15" t="s">
        <v>260</v>
      </c>
      <c r="J79" s="8" t="str">
        <f>IFERROR(__xludf.DUMMYFUNCTION("IF(ISBLANK(F79),""NA"", VLOOKUP(F79,IMPORTRANGE(""https://docs.google.com/spreadsheets/d/1EdCvim__xyxvoo9WoburDTzYylznTCOJBHcnu7eurMw/edit?gid=15948134#gid=15948134"", ""Purpose!A1:B1000""),2,FALSE()))"),"to encode data (i.e., production rules) into a vector representation (i.e, binary features)")</f>
        <v>to encode data (i.e., production rules) into a vector representation (i.e, binary features)</v>
      </c>
      <c r="K79" s="8" t="str">
        <f>IFERROR(__xludf.DUMMYFUNCTION("IF(ISBLANK(E79),""NA"", VLOOKUP(E79,IMPORTRANGE(""https://docs.google.com/spreadsheets/d/1EdCvim__xyxvoo9WoburDTzYylznTCOJBHcnu7eurMw/edit?gid=15948134#gid=15948134"", ""Technique!A1:B2000""),2,FALSE()))"),"encode by the length of the element")</f>
        <v>encode by the length of the element</v>
      </c>
      <c r="L79" s="8" t="str">
        <f>IFERROR(__xludf.DUMMYFUNCTION("IF(ISBLANK(D79),""NA"", VLOOKUP(D79,IMPORTRANGE(""https://docs.google.com/spreadsheets/d/1EdCvim__xyxvoo9WoburDTzYylznTCOJBHcnu7eurMw/edit?gid=15948134#gid=15948134"", ""Input!A1:B2000""),2,FALSE()))"),"parse tree (production rules)")</f>
        <v>parse tree (production rules)</v>
      </c>
    </row>
    <row r="80" hidden="1">
      <c r="A80" s="1" t="s">
        <v>256</v>
      </c>
      <c r="B80" s="1" t="s">
        <v>268</v>
      </c>
      <c r="C80" s="1" t="s">
        <v>262</v>
      </c>
      <c r="D80" s="1" t="s">
        <v>263</v>
      </c>
      <c r="E80" s="14" t="s">
        <v>269</v>
      </c>
      <c r="F80" s="14" t="s">
        <v>265</v>
      </c>
      <c r="G80" s="1" t="s">
        <v>14</v>
      </c>
      <c r="H80" s="15" t="s">
        <v>260</v>
      </c>
      <c r="J80" s="8" t="str">
        <f>IFERROR(__xludf.DUMMYFUNCTION("IF(ISBLANK(F80),""NA"", VLOOKUP(F80,IMPORTRANGE(""https://docs.google.com/spreadsheets/d/1EdCvim__xyxvoo9WoburDTzYylznTCOJBHcnu7eurMw/edit?gid=15948134#gid=15948134"", ""Purpose!A1:B1000""),2,FALSE()))"),"to encode data (i.e., production rules) into a vector representation (i.e, binary features)")</f>
        <v>to encode data (i.e., production rules) into a vector representation (i.e, binary features)</v>
      </c>
      <c r="K80" s="8" t="str">
        <f>IFERROR(__xludf.DUMMYFUNCTION("IF(ISBLANK(E80),""NA"", VLOOKUP(E80,IMPORTRANGE(""https://docs.google.com/spreadsheets/d/1EdCvim__xyxvoo9WoburDTzYylznTCOJBHcnu7eurMw/edit?gid=15948134#gid=15948134"", ""Technique!A1:B2000""),2,FALSE()))"),"encode with Maximal Code Point")</f>
        <v>encode with Maximal Code Point</v>
      </c>
      <c r="L80" s="8" t="str">
        <f>IFERROR(__xludf.DUMMYFUNCTION("IF(ISBLANK(D80),""NA"", VLOOKUP(D80,IMPORTRANGE(""https://docs.google.com/spreadsheets/d/1EdCvim__xyxvoo9WoburDTzYylznTCOJBHcnu7eurMw/edit?gid=15948134#gid=15948134"", ""Input!A1:B2000""),2,FALSE()))"),"parse tree (production rules)")</f>
        <v>parse tree (production rules)</v>
      </c>
    </row>
    <row r="81" hidden="1">
      <c r="A81" s="1" t="s">
        <v>256</v>
      </c>
      <c r="B81" s="1" t="s">
        <v>270</v>
      </c>
      <c r="C81" s="1" t="s">
        <v>262</v>
      </c>
      <c r="D81" s="1" t="s">
        <v>263</v>
      </c>
      <c r="E81" s="14" t="s">
        <v>271</v>
      </c>
      <c r="F81" s="14" t="s">
        <v>265</v>
      </c>
      <c r="G81" s="1" t="s">
        <v>14</v>
      </c>
      <c r="H81" s="15" t="s">
        <v>260</v>
      </c>
      <c r="J81" s="8" t="str">
        <f>IFERROR(__xludf.DUMMYFUNCTION("IF(ISBLANK(F81),""NA"", VLOOKUP(F81,IMPORTRANGE(""https://docs.google.com/spreadsheets/d/1EdCvim__xyxvoo9WoburDTzYylznTCOJBHcnu7eurMw/edit?gid=15948134#gid=15948134"", ""Purpose!A1:B1000""),2,FALSE()))"),"to encode data (i.e., production rules) into a vector representation (i.e, binary features)")</f>
        <v>to encode data (i.e., production rules) into a vector representation (i.e, binary features)</v>
      </c>
      <c r="K81" s="8" t="str">
        <f>IFERROR(__xludf.DUMMYFUNCTION("IF(ISBLANK(E81),""NA"", VLOOKUP(E81,IMPORTRANGE(""https://docs.google.com/spreadsheets/d/1EdCvim__xyxvoo9WoburDTzYylznTCOJBHcnu7eurMw/edit?gid=15948134#gid=15948134"", ""Technique!A1:B2000""),2,FALSE()))"),"encode with Numerica Interpretation")</f>
        <v>encode with Numerica Interpretation</v>
      </c>
      <c r="L81" s="8" t="str">
        <f>IFERROR(__xludf.DUMMYFUNCTION("IF(ISBLANK(D81),""NA"", VLOOKUP(D81,IMPORTRANGE(""https://docs.google.com/spreadsheets/d/1EdCvim__xyxvoo9WoburDTzYylznTCOJBHcnu7eurMw/edit?gid=15948134#gid=15948134"", ""Input!A1:B2000""),2,FALSE()))"),"parse tree (production rules)")</f>
        <v>parse tree (production rules)</v>
      </c>
    </row>
    <row r="82" hidden="1">
      <c r="A82" s="1" t="s">
        <v>256</v>
      </c>
      <c r="B82" s="1">
        <v>3.0</v>
      </c>
      <c r="C82" s="1" t="s">
        <v>262</v>
      </c>
      <c r="D82" s="1" t="s">
        <v>170</v>
      </c>
      <c r="E82" s="16" t="s">
        <v>272</v>
      </c>
      <c r="F82" s="14" t="s">
        <v>273</v>
      </c>
      <c r="G82" s="1" t="s">
        <v>54</v>
      </c>
      <c r="H82" s="15" t="s">
        <v>260</v>
      </c>
      <c r="J82" s="8" t="str">
        <f>IFERROR(__xludf.DUMMYFUNCTION("IF(ISBLANK(F82),""NA"", VLOOKUP(F82,IMPORTRANGE(""https://docs.google.com/spreadsheets/d/1EdCvim__xyxvoo9WoburDTzYylznTCOJBHcnu7eurMw/edit?gid=15948134#gid=15948134"", ""Purpose!A1:B1000""),2,FALSE()))"),"to train a model for prediction tasks (i.e., predict errors/failures)")</f>
        <v>to train a model for prediction tasks (i.e., predict errors/failures)</v>
      </c>
      <c r="K82" s="8" t="str">
        <f>IFERROR(__xludf.DUMMYFUNCTION("IF(ISBLANK(E82),""NA"", VLOOKUP(E82,IMPORTRANGE(""https://docs.google.com/spreadsheets/d/1EdCvim__xyxvoo9WoburDTzYylznTCOJBHcnu7eurMw/edit?gid=15948134#gid=15948134"", ""Technique!A1:B2000""),2,FALSE()))"),"use decision tree")</f>
        <v>use decision tree</v>
      </c>
      <c r="L82" s="8" t="str">
        <f>IFERROR(__xludf.DUMMYFUNCTION("IF(ISBLANK(D82),""NA"", VLOOKUP(D82,IMPORTRANGE(""https://docs.google.com/spreadsheets/d/1EdCvim__xyxvoo9WoburDTzYylznTCOJBHcnu7eurMw/edit?gid=15948134#gid=15948134"", ""Input!A1:B2000""),2,FALSE()))"),"data")</f>
        <v>data</v>
      </c>
    </row>
    <row r="83" hidden="1">
      <c r="A83" s="1" t="s">
        <v>256</v>
      </c>
      <c r="B83" s="1" t="s">
        <v>274</v>
      </c>
      <c r="C83" s="1" t="s">
        <v>275</v>
      </c>
      <c r="D83" s="1" t="s">
        <v>33</v>
      </c>
      <c r="E83" s="14" t="s">
        <v>276</v>
      </c>
      <c r="F83" s="14" t="s">
        <v>277</v>
      </c>
      <c r="G83" s="1" t="s">
        <v>44</v>
      </c>
      <c r="H83" s="15" t="s">
        <v>260</v>
      </c>
      <c r="J83" s="8" t="str">
        <f>IFERROR(__xludf.DUMMYFUNCTION("IF(ISBLANK(F83),""NA"", VLOOKUP(F83,IMPORTRANGE(""https://docs.google.com/spreadsheets/d/1EdCvim__xyxvoo9WoburDTzYylznTCOJBHcnu7eurMw/edit?gid=15948134#gid=15948134"", ""Purpose!A1:B1000""),2,FALSE()))"),"to collect data, code data that is similar to the original data")</f>
        <v>to collect data, code data that is similar to the original data</v>
      </c>
      <c r="K83" s="8" t="str">
        <f>IFERROR(__xludf.DUMMYFUNCTION("IF(ISBLANK(E83),""NA"", VLOOKUP(E83,IMPORTRANGE(""https://docs.google.com/spreadsheets/d/1EdCvim__xyxvoo9WoburDTzYylznTCOJBHcnu7eurMw/edit?gid=15948134#gid=15948134"", ""Technique!A1:B2000""),2,FALSE()))"),"use ""more of the same"" technique")</f>
        <v>use "more of the same" technique</v>
      </c>
      <c r="L83" s="8" t="str">
        <f>IFERROR(__xludf.DUMMYFUNCTION("IF(ISBLANK(D83),""NA"", VLOOKUP(D83,IMPORTRANGE(""https://docs.google.com/spreadsheets/d/1EdCvim__xyxvoo9WoburDTzYylznTCOJBHcnu7eurMw/edit?gid=15948134#gid=15948134"", ""Input!A1:B2000""),2,FALSE()))"),"")</f>
        <v/>
      </c>
    </row>
    <row r="84" hidden="1">
      <c r="A84" s="1" t="s">
        <v>256</v>
      </c>
      <c r="B84" s="1" t="s">
        <v>278</v>
      </c>
      <c r="C84" s="1" t="s">
        <v>275</v>
      </c>
      <c r="D84" s="1" t="s">
        <v>279</v>
      </c>
      <c r="E84" s="16" t="s">
        <v>280</v>
      </c>
      <c r="F84" s="1" t="s">
        <v>33</v>
      </c>
      <c r="G84" s="1" t="s">
        <v>20</v>
      </c>
      <c r="H84" s="15" t="s">
        <v>260</v>
      </c>
      <c r="J84" s="8" t="str">
        <f>IFERROR(__xludf.DUMMYFUNCTION("IF(ISBLANK(F84),""NA"", VLOOKUP(F84,IMPORTRANGE(""https://docs.google.com/spreadsheets/d/1EdCvim__xyxvoo9WoburDTzYylznTCOJBHcnu7eurMw/edit?gid=15948134#gid=15948134"", ""Purpose!A1:B1000""),2,FALSE()))"),"")</f>
        <v/>
      </c>
      <c r="K84" s="8" t="str">
        <f>IFERROR(__xludf.DUMMYFUNCTION("IF(ISBLANK(E84),""NA"", VLOOKUP(E84,IMPORTRANGE(""https://docs.google.com/spreadsheets/d/1EdCvim__xyxvoo9WoburDTzYylznTCOJBHcnu7eurMw/edit?gid=15948134#gid=15948134"", ""Technique!A1:B2000""),2,FALSE()))"),"split data into train and test")</f>
        <v>split data into train and test</v>
      </c>
      <c r="L84" s="8" t="str">
        <f>IFERROR(__xludf.DUMMYFUNCTION("IF(ISBLANK(D84),""NA"", VLOOKUP(D84,IMPORTRANGE(""https://docs.google.com/spreadsheets/d/1EdCvim__xyxvoo9WoburDTzYylznTCOJBHcnu7eurMw/edit?gid=15948134#gid=15948134"", ""Input!A1:B2000""),2,FALSE()))"),"data")</f>
        <v>data</v>
      </c>
    </row>
    <row r="85" hidden="1">
      <c r="A85" s="17" t="s">
        <v>256</v>
      </c>
      <c r="B85" s="11">
        <v>41795.0</v>
      </c>
      <c r="C85" s="1" t="s">
        <v>275</v>
      </c>
      <c r="D85" s="1" t="s">
        <v>281</v>
      </c>
      <c r="E85" s="14" t="s">
        <v>282</v>
      </c>
      <c r="F85" s="14" t="s">
        <v>283</v>
      </c>
      <c r="G85" s="1" t="s">
        <v>39</v>
      </c>
      <c r="H85" s="15" t="s">
        <v>260</v>
      </c>
      <c r="J85" s="8" t="str">
        <f>IFERROR(__xludf.DUMMYFUNCTION("IF(ISBLANK(F85),""NA"", VLOOKUP(F85,IMPORTRANGE(""https://docs.google.com/spreadsheets/d/1EdCvim__xyxvoo9WoburDTzYylznTCOJBHcnu7eurMw/edit?gid=15948134#gid=15948134"", ""Purpose!A1:B1000""),2,FALSE()))"),"to evaluate model(s) functionally (e.g., accuracy)")</f>
        <v>to evaluate model(s) functionally (e.g., accuracy)</v>
      </c>
      <c r="K85" s="8" t="str">
        <f>IFERROR(__xludf.DUMMYFUNCTION("IF(ISBLANK(E85),""NA"", VLOOKUP(E85,IMPORTRANGE(""https://docs.google.com/spreadsheets/d/1EdCvim__xyxvoo9WoburDTzYylznTCOJBHcnu7eurMw/edit?gid=15948134#gid=15948134"", ""Technique!A1:B2000""),2,FALSE()))"),"compute classical metrics (i.e., Accuracy, Precision)")</f>
        <v>compute classical metrics (i.e., Accuracy, Precision)</v>
      </c>
      <c r="L85" s="8" t="str">
        <f>IFERROR(__xludf.DUMMYFUNCTION("IF(ISBLANK(D85),""NA"", VLOOKUP(D85,IMPORTRANGE(""https://docs.google.com/spreadsheets/d/1EdCvim__xyxvoo9WoburDTzYylznTCOJBHcnu7eurMw/edit?gid=15948134#gid=15948134"", ""Input!A1:B2000""),2,FALSE()))"),"data (test set) + model(s)")</f>
        <v>data (test set) + model(s)</v>
      </c>
    </row>
    <row r="86" hidden="1">
      <c r="A86" s="1" t="s">
        <v>284</v>
      </c>
      <c r="B86" s="1" t="s">
        <v>285</v>
      </c>
      <c r="C86" s="1" t="s">
        <v>286</v>
      </c>
      <c r="E86" s="14" t="s">
        <v>287</v>
      </c>
      <c r="F86" s="14" t="s">
        <v>288</v>
      </c>
      <c r="G86" s="1" t="s">
        <v>39</v>
      </c>
      <c r="H86" s="15" t="s">
        <v>289</v>
      </c>
      <c r="J86" s="8" t="str">
        <f>IFERROR(__xludf.DUMMYFUNCTION("IF(ISBLANK(F86),""NA"", VLOOKUP(F86,IMPORTRANGE(""https://docs.google.com/spreadsheets/d/1EdCvim__xyxvoo9WoburDTzYylznTCOJBHcnu7eurMw/edit?gid=15948134#gid=15948134"", ""Purpose!A1:B1000""),2,FALSE()))"),"to evaluate model(s) functionally (e.g., accuracy)")</f>
        <v>to evaluate model(s) functionally (e.g., accuracy)</v>
      </c>
      <c r="K86" s="8" t="str">
        <f>IFERROR(__xludf.DUMMYFUNCTION("IF(ISBLANK(E86),""NA"", VLOOKUP(E86,IMPORTRANGE(""https://docs.google.com/spreadsheets/d/1EdCvim__xyxvoo9WoburDTzYylznTCOJBHcnu7eurMw/edit?gid=15948134#gid=15948134"", ""Technique!A1:B2000""),2,FALSE()))"),"compute metrics (i.e., test coverage, fault detection rate, failure detection rate)")</f>
        <v>compute metrics (i.e., test coverage, fault detection rate, failure detection rate)</v>
      </c>
      <c r="L86" s="8" t="str">
        <f>IFERROR(__xludf.DUMMYFUNCTION("IF(ISBLANK(D86),""NA"", VLOOKUP(D86,IMPORTRANGE(""https://docs.google.com/spreadsheets/d/1EdCvim__xyxvoo9WoburDTzYylznTCOJBHcnu7eurMw/edit?gid=15948134#gid=15948134"", ""Input!A1:B2000""),2,FALSE()))"),"NA")</f>
        <v>NA</v>
      </c>
    </row>
    <row r="87" hidden="1">
      <c r="A87" s="1" t="s">
        <v>284</v>
      </c>
      <c r="B87" s="1">
        <v>9.0</v>
      </c>
      <c r="C87" s="1" t="s">
        <v>290</v>
      </c>
      <c r="D87" s="1" t="s">
        <v>291</v>
      </c>
      <c r="E87" s="14" t="s">
        <v>292</v>
      </c>
      <c r="F87" s="14" t="s">
        <v>293</v>
      </c>
      <c r="G87" s="1" t="s">
        <v>14</v>
      </c>
      <c r="H87" s="15" t="s">
        <v>289</v>
      </c>
      <c r="J87" s="8" t="str">
        <f>IFERROR(__xludf.DUMMYFUNCTION("IF(ISBLANK(F87),""NA"", VLOOKUP(F87,IMPORTRANGE(""https://docs.google.com/spreadsheets/d/1EdCvim__xyxvoo9WoburDTzYylznTCOJBHcnu7eurMw/edit?gid=15948134#gid=15948134"", ""Purpose!A1:B1000""),2,FALSE()))"),"to tokenize textual data")</f>
        <v>to tokenize textual data</v>
      </c>
      <c r="K87" s="8" t="str">
        <f>IFERROR(__xludf.DUMMYFUNCTION("IF(ISBLANK(E87),""NA"", VLOOKUP(E87,IMPORTRANGE(""https://docs.google.com/spreadsheets/d/1EdCvim__xyxvoo9WoburDTzYylznTCOJBHcnu7eurMw/edit?gid=15948134#gid=15948134"", ""Technique!A1:B2000""),2,FALSE()))"),"tokenize + No remove stop words + No apply stemming")</f>
        <v>tokenize + No remove stop words + No apply stemming</v>
      </c>
      <c r="L87" s="8" t="str">
        <f>IFERROR(__xludf.DUMMYFUNCTION("IF(ISBLANK(D87),""NA"", VLOOKUP(D87,IMPORTRANGE(""https://docs.google.com/spreadsheets/d/1EdCvim__xyxvoo9WoburDTzYylznTCOJBHcnu7eurMw/edit?gid=15948134#gid=15948134"", ""Input!A1:B2000""),2,FALSE()))"),"textual data (test case descriptions)")</f>
        <v>textual data (test case descriptions)</v>
      </c>
    </row>
    <row r="88" hidden="1">
      <c r="A88" s="1" t="s">
        <v>284</v>
      </c>
      <c r="B88" s="1" t="s">
        <v>268</v>
      </c>
      <c r="C88" s="1" t="s">
        <v>290</v>
      </c>
      <c r="D88" s="1" t="s">
        <v>294</v>
      </c>
      <c r="E88" s="14" t="s">
        <v>295</v>
      </c>
      <c r="F88" s="14" t="s">
        <v>296</v>
      </c>
      <c r="G88" s="1" t="s">
        <v>14</v>
      </c>
      <c r="H88" s="20" t="s">
        <v>289</v>
      </c>
      <c r="J88" s="8" t="str">
        <f>IFERROR(__xludf.DUMMYFUNCTION("IF(ISBLANK(F88),""NA"", VLOOKUP(F88,IMPORTRANGE(""https://docs.google.com/spreadsheets/d/1EdCvim__xyxvoo9WoburDTzYylznTCOJBHcnu7eurMw/edit?gid=15948134#gid=15948134"", ""Purpose!A1:B1000""),2,FALSE()))"),"to encode textual data into a vector representation (i.e, frequency)")</f>
        <v>to encode textual data into a vector representation (i.e, frequency)</v>
      </c>
      <c r="K88" s="8" t="str">
        <f>IFERROR(__xludf.DUMMYFUNCTION("IF(ISBLANK(E88),""NA"", VLOOKUP(E88,IMPORTRANGE(""https://docs.google.com/spreadsheets/d/1EdCvim__xyxvoo9WoburDTzYylznTCOJBHcnu7eurMw/edit?gid=15948134#gid=15948134"", ""Technique!A1:B2000""),2,FALSE()))"),"build term frequency matrix")</f>
        <v>build term frequency matrix</v>
      </c>
      <c r="L88" s="8" t="str">
        <f>IFERROR(__xludf.DUMMYFUNCTION("IF(ISBLANK(D88),""NA"", VLOOKUP(D88,IMPORTRANGE(""https://docs.google.com/spreadsheets/d/1EdCvim__xyxvoo9WoburDTzYylznTCOJBHcnu7eurMw/edit?gid=15948134#gid=15948134"", ""Input!A1:B2000""),2,FALSE()))"),"token representation (textual data)")</f>
        <v>token representation (textual data)</v>
      </c>
    </row>
    <row r="89" hidden="1">
      <c r="A89" s="1" t="s">
        <v>284</v>
      </c>
      <c r="B89" s="1">
        <v>2.0</v>
      </c>
      <c r="C89" s="1" t="s">
        <v>290</v>
      </c>
      <c r="D89" s="1" t="s">
        <v>297</v>
      </c>
      <c r="E89" s="14" t="s">
        <v>298</v>
      </c>
      <c r="G89" s="1" t="s">
        <v>14</v>
      </c>
      <c r="H89" s="20" t="s">
        <v>289</v>
      </c>
      <c r="J89" s="8" t="str">
        <f>IFERROR(__xludf.DUMMYFUNCTION("IF(ISBLANK(F89),""NA"", VLOOKUP(F89,IMPORTRANGE(""https://docs.google.com/spreadsheets/d/1EdCvim__xyxvoo9WoburDTzYylznTCOJBHcnu7eurMw/edit?gid=15948134#gid=15948134"", ""Purpose!A1:B1000""),2,FALSE()))"),"NA")</f>
        <v>NA</v>
      </c>
      <c r="K89" s="8" t="str">
        <f>IFERROR(__xludf.DUMMYFUNCTION("IF(ISBLANK(E89),""NA"", VLOOKUP(E89,IMPORTRANGE(""https://docs.google.com/spreadsheets/d/1EdCvim__xyxvoo9WoburDTzYylznTCOJBHcnu7eurMw/edit?gid=15948134#gid=15948134"", ""Technique!A1:B2000""),2,FALSE()))"),"use normalization, L2-norm2")</f>
        <v>use normalization, L2-norm2</v>
      </c>
      <c r="L89" s="8" t="str">
        <f>IFERROR(__xludf.DUMMYFUNCTION("IF(ISBLANK(D89),""NA"", VLOOKUP(D89,IMPORTRANGE(""https://docs.google.com/spreadsheets/d/1EdCvim__xyxvoo9WoburDTzYylznTCOJBHcnu7eurMw/edit?gid=15948134#gid=15948134"", ""Input!A1:B2000""),2,FALSE()))"),"matrix representation (frequency of terms in test case descriptions)")</f>
        <v>matrix representation (frequency of terms in test case descriptions)</v>
      </c>
    </row>
    <row r="90" hidden="1">
      <c r="A90" s="1" t="s">
        <v>284</v>
      </c>
      <c r="B90" s="1" t="s">
        <v>299</v>
      </c>
      <c r="C90" s="1" t="s">
        <v>290</v>
      </c>
      <c r="D90" s="1" t="s">
        <v>33</v>
      </c>
      <c r="E90" s="14" t="s">
        <v>300</v>
      </c>
      <c r="F90" s="1" t="s">
        <v>33</v>
      </c>
      <c r="G90" s="1" t="s">
        <v>14</v>
      </c>
      <c r="H90" s="10" t="s">
        <v>289</v>
      </c>
      <c r="J90" s="8" t="str">
        <f>IFERROR(__xludf.DUMMYFUNCTION("IF(ISBLANK(F90),""NA"", VLOOKUP(F90,IMPORTRANGE(""https://docs.google.com/spreadsheets/d/1EdCvim__xyxvoo9WoburDTzYylznTCOJBHcnu7eurMw/edit?gid=15948134#gid=15948134"", ""Purpose!A1:B1000""),2,FALSE()))"),"")</f>
        <v/>
      </c>
      <c r="K90" s="8" t="str">
        <f>IFERROR(__xludf.DUMMYFUNCTION("IF(ISBLANK(E90),""NA"", VLOOKUP(E90,IMPORTRANGE(""https://docs.google.com/spreadsheets/d/1EdCvim__xyxvoo9WoburDTzYylznTCOJBHcnu7eurMw/edit?gid=15948134#gid=15948134"", ""Technique!A1:B2000""),2,FALSE()))"),"feature engineering, history as vectors")</f>
        <v>feature engineering, history as vectors</v>
      </c>
      <c r="L90" s="8" t="str">
        <f>IFERROR(__xludf.DUMMYFUNCTION("IF(ISBLANK(D90),""NA"", VLOOKUP(D90,IMPORTRANGE(""https://docs.google.com/spreadsheets/d/1EdCvim__xyxvoo9WoburDTzYylznTCOJBHcnu7eurMw/edit?gid=15948134#gid=15948134"", ""Input!A1:B2000""),2,FALSE()))"),"")</f>
        <v/>
      </c>
    </row>
    <row r="91" hidden="1">
      <c r="A91" s="1" t="s">
        <v>284</v>
      </c>
      <c r="B91" s="1" t="s">
        <v>301</v>
      </c>
      <c r="C91" s="1" t="s">
        <v>290</v>
      </c>
      <c r="D91" s="1" t="s">
        <v>33</v>
      </c>
      <c r="E91" s="14" t="s">
        <v>302</v>
      </c>
      <c r="F91" s="1" t="s">
        <v>33</v>
      </c>
      <c r="G91" s="1" t="s">
        <v>14</v>
      </c>
      <c r="H91" s="10" t="s">
        <v>289</v>
      </c>
      <c r="J91" s="8" t="str">
        <f>IFERROR(__xludf.DUMMYFUNCTION("IF(ISBLANK(F91),""NA"", VLOOKUP(F91,IMPORTRANGE(""https://docs.google.com/spreadsheets/d/1EdCvim__xyxvoo9WoburDTzYylznTCOJBHcnu7eurMw/edit?gid=15948134#gid=15948134"", ""Purpose!A1:B1000""),2,FALSE()))"),"")</f>
        <v/>
      </c>
      <c r="K91" s="8" t="str">
        <f>IFERROR(__xludf.DUMMYFUNCTION("IF(ISBLANK(E91),""NA"", VLOOKUP(E91,IMPORTRANGE(""https://docs.google.com/spreadsheets/d/1EdCvim__xyxvoo9WoburDTzYylznTCOJBHcnu7eurMw/edit?gid=15948134#gid=15948134"", ""Technique!A1:B2000""),2,FALSE()))"),"feature engineering, concatenate history and text features as vectors")</f>
        <v>feature engineering, concatenate history and text features as vectors</v>
      </c>
      <c r="L91" s="8" t="str">
        <f>IFERROR(__xludf.DUMMYFUNCTION("IF(ISBLANK(D91),""NA"", VLOOKUP(D91,IMPORTRANGE(""https://docs.google.com/spreadsheets/d/1EdCvim__xyxvoo9WoburDTzYylznTCOJBHcnu7eurMw/edit?gid=15948134#gid=15948134"", ""Input!A1:B2000""),2,FALSE()))"),"")</f>
        <v/>
      </c>
    </row>
    <row r="92" hidden="1">
      <c r="A92" s="1" t="s">
        <v>284</v>
      </c>
      <c r="B92" s="1">
        <v>13.0</v>
      </c>
      <c r="C92" s="1" t="s">
        <v>303</v>
      </c>
      <c r="D92" s="1" t="s">
        <v>33</v>
      </c>
      <c r="E92" s="14" t="s">
        <v>304</v>
      </c>
      <c r="F92" s="14" t="s">
        <v>98</v>
      </c>
      <c r="G92" s="1" t="s">
        <v>44</v>
      </c>
      <c r="H92" s="10" t="s">
        <v>289</v>
      </c>
      <c r="J92" s="8" t="str">
        <f>IFERROR(__xludf.DUMMYFUNCTION("IF(ISBLANK(F92),""NA"", VLOOKUP(F92,IMPORTRANGE(""https://docs.google.com/spreadsheets/d/1EdCvim__xyxvoo9WoburDTzYylznTCOJBHcnu7eurMw/edit?gid=15948134#gid=15948134"", ""Purpose!A1:B1000""),2,FALSE()))"),"to collect data")</f>
        <v>to collect data</v>
      </c>
      <c r="K92" s="8" t="str">
        <f>IFERROR(__xludf.DUMMYFUNCTION("IF(ISBLANK(E92),""NA"", VLOOKUP(E92,IMPORTRANGE(""https://docs.google.com/spreadsheets/d/1EdCvim__xyxvoo9WoburDTzYylznTCOJBHcnu7eurMw/edit?gid=15948134#gid=15948134"", ""Technique!A1:B2000""),2,FALSE()))"),"collect own data runing UI tests")</f>
        <v>collect own data runing UI tests</v>
      </c>
      <c r="L92" s="8" t="str">
        <f>IFERROR(__xludf.DUMMYFUNCTION("IF(ISBLANK(D92),""NA"", VLOOKUP(D92,IMPORTRANGE(""https://docs.google.com/spreadsheets/d/1EdCvim__xyxvoo9WoburDTzYylznTCOJBHcnu7eurMw/edit?gid=15948134#gid=15948134"", ""Input!A1:B2000""),2,FALSE()))"),"")</f>
        <v/>
      </c>
    </row>
    <row r="93" hidden="1">
      <c r="A93" s="1" t="s">
        <v>284</v>
      </c>
      <c r="B93" s="1" t="s">
        <v>305</v>
      </c>
      <c r="C93" s="1" t="s">
        <v>306</v>
      </c>
      <c r="D93" s="1" t="s">
        <v>307</v>
      </c>
      <c r="E93" s="14" t="s">
        <v>308</v>
      </c>
      <c r="F93" s="14" t="s">
        <v>309</v>
      </c>
      <c r="G93" s="1" t="s">
        <v>39</v>
      </c>
      <c r="H93" s="10" t="s">
        <v>289</v>
      </c>
      <c r="J93" s="8" t="str">
        <f>IFERROR(__xludf.DUMMYFUNCTION("IF(ISBLANK(F93),""NA"", VLOOKUP(F93,IMPORTRANGE(""https://docs.google.com/spreadsheets/d/1EdCvim__xyxvoo9WoburDTzYylznTCOJBHcnu7eurMw/edit?gid=15948134#gid=15948134"", ""Purpose!A1:B1000""),2,FALSE()))"),"to evaluate model(s) functionally (e.g., accuracy)")</f>
        <v>to evaluate model(s) functionally (e.g., accuracy)</v>
      </c>
      <c r="K93" s="8" t="str">
        <f>IFERROR(__xludf.DUMMYFUNCTION("IF(ISBLANK(E93),""NA"", VLOOKUP(E93,IMPORTRANGE(""https://docs.google.com/spreadsheets/d/1EdCvim__xyxvoo9WoburDTzYylznTCOJBHcnu7eurMw/edit?gid=15948134#gid=15948134"", ""Technique!A1:B2000""),2,FALSE()))"),"compare with baseline model(s), state-of-the-art baselines deep learning (17 models), non ml (2 models)")</f>
        <v>compare with baseline model(s), state-of-the-art baselines deep learning (17 models), non ml (2 models)</v>
      </c>
      <c r="L93" s="8" t="str">
        <f>IFERROR(__xludf.DUMMYFUNCTION("IF(ISBLANK(D93),""NA"", VLOOKUP(D93,IMPORTRANGE(""https://docs.google.com/spreadsheets/d/1EdCvim__xyxvoo9WoburDTzYylznTCOJBHcnu7eurMw/edit?gid=15948134#gid=15948134"", ""Input!A1:B2000""),2,FALSE()))"),"data + model(s)")</f>
        <v>data + model(s)</v>
      </c>
    </row>
    <row r="94" hidden="1">
      <c r="A94" s="1" t="s">
        <v>284</v>
      </c>
      <c r="B94" s="1">
        <v>16.0</v>
      </c>
      <c r="C94" s="1" t="s">
        <v>310</v>
      </c>
      <c r="D94" s="1" t="s">
        <v>307</v>
      </c>
      <c r="E94" s="14" t="s">
        <v>311</v>
      </c>
      <c r="F94" s="14" t="s">
        <v>312</v>
      </c>
      <c r="G94" s="1" t="s">
        <v>39</v>
      </c>
      <c r="H94" s="10" t="s">
        <v>289</v>
      </c>
      <c r="J94" s="8" t="str">
        <f>IFERROR(__xludf.DUMMYFUNCTION("IF(ISBLANK(F94),""NA"", VLOOKUP(F94,IMPORTRANGE(""https://docs.google.com/spreadsheets/d/1EdCvim__xyxvoo9WoburDTzYylznTCOJBHcnu7eurMw/edit?gid=15948134#gid=15948134"", ""Purpose!A1:B1000""),2,FALSE()))"),"to evaluate model(s) non-functional attributes (i.e., overhead)")</f>
        <v>to evaluate model(s) non-functional attributes (i.e., overhead)</v>
      </c>
      <c r="K94" s="8" t="str">
        <f>IFERROR(__xludf.DUMMYFUNCTION("IF(ISBLANK(E94),""NA"", VLOOKUP(E94,IMPORTRANGE(""https://docs.google.com/spreadsheets/d/1EdCvim__xyxvoo9WoburDTzYylznTCOJBHcnu7eurMw/edit?gid=15948134#gid=15948134"", ""Technique!A1:B2000""),2,FALSE()))"),"evaluate model computational overhead")</f>
        <v>evaluate model computational overhead</v>
      </c>
      <c r="L94" s="8" t="str">
        <f>IFERROR(__xludf.DUMMYFUNCTION("IF(ISBLANK(D94),""NA"", VLOOKUP(D94,IMPORTRANGE(""https://docs.google.com/spreadsheets/d/1EdCvim__xyxvoo9WoburDTzYylznTCOJBHcnu7eurMw/edit?gid=15948134#gid=15948134"", ""Input!A1:B2000""),2,FALSE()))"),"data + model(s)")</f>
        <v>data + model(s)</v>
      </c>
    </row>
    <row r="95" hidden="1">
      <c r="A95" s="1" t="s">
        <v>284</v>
      </c>
      <c r="B95" s="1" t="s">
        <v>313</v>
      </c>
      <c r="C95" s="1" t="s">
        <v>310</v>
      </c>
      <c r="D95" s="1" t="s">
        <v>314</v>
      </c>
      <c r="E95" s="14" t="s">
        <v>315</v>
      </c>
      <c r="F95" s="14" t="s">
        <v>316</v>
      </c>
      <c r="G95" s="1" t="s">
        <v>39</v>
      </c>
      <c r="H95" s="10" t="s">
        <v>289</v>
      </c>
      <c r="J95" s="8" t="str">
        <f>IFERROR(__xludf.DUMMYFUNCTION("IF(ISBLANK(F95),""NA"", VLOOKUP(F95,IMPORTRANGE(""https://docs.google.com/spreadsheets/d/1EdCvim__xyxvoo9WoburDTzYylznTCOJBHcnu7eurMw/edit?gid=15948134#gid=15948134"", ""Purpose!A1:B1000""),2,FALSE()))"),"to understand statistical significance")</f>
        <v>to understand statistical significance</v>
      </c>
      <c r="K95" s="8" t="str">
        <f>IFERROR(__xludf.DUMMYFUNCTION("IF(ISBLANK(E95),""NA"", VLOOKUP(E95,IMPORTRANGE(""https://docs.google.com/spreadsheets/d/1EdCvim__xyxvoo9WoburDTzYylznTCOJBHcnu7eurMw/edit?gid=15948134#gid=15948134"", ""Technique!A1:B2000""),2,FALSE()))"),"statistical test (Scott Knott test)")</f>
        <v>statistical test (Scott Knott test)</v>
      </c>
      <c r="L95" s="8" t="str">
        <f>IFERROR(__xludf.DUMMYFUNCTION("IF(ISBLANK(D95),""NA"", VLOOKUP(D95,IMPORTRANGE(""https://docs.google.com/spreadsheets/d/1EdCvim__xyxvoo9WoburDTzYylznTCOJBHcnu7eurMw/edit?gid=15948134#gid=15948134"", ""Input!A1:B2000""),2,FALSE()))"),"computed metrics")</f>
        <v>computed metrics</v>
      </c>
    </row>
    <row r="96" hidden="1">
      <c r="A96" s="1" t="s">
        <v>284</v>
      </c>
      <c r="B96" s="1">
        <v>18.0</v>
      </c>
      <c r="C96" s="1" t="s">
        <v>310</v>
      </c>
      <c r="D96" s="1" t="s">
        <v>314</v>
      </c>
      <c r="E96" s="14" t="s">
        <v>317</v>
      </c>
      <c r="F96" s="14" t="s">
        <v>316</v>
      </c>
      <c r="G96" s="1" t="s">
        <v>39</v>
      </c>
      <c r="H96" s="10" t="s">
        <v>289</v>
      </c>
      <c r="J96" s="8" t="str">
        <f>IFERROR(__xludf.DUMMYFUNCTION("IF(ISBLANK(F96),""NA"", VLOOKUP(F96,IMPORTRANGE(""https://docs.google.com/spreadsheets/d/1EdCvim__xyxvoo9WoburDTzYylznTCOJBHcnu7eurMw/edit?gid=15948134#gid=15948134"", ""Purpose!A1:B1000""),2,FALSE()))"),"to understand statistical significance")</f>
        <v>to understand statistical significance</v>
      </c>
      <c r="K96" s="8" t="str">
        <f>IFERROR(__xludf.DUMMYFUNCTION("IF(ISBLANK(E96),""NA"", VLOOKUP(E96,IMPORTRANGE(""https://docs.google.com/spreadsheets/d/1EdCvim__xyxvoo9WoburDTzYylznTCOJBHcnu7eurMw/edit?gid=15948134#gid=15948134"", ""Technique!A1:B2000""),2,FALSE()))"),"use effect sizes, Cliff""s Delta")</f>
        <v>use effect sizes, Cliff"s Delta</v>
      </c>
      <c r="L96" s="8" t="str">
        <f>IFERROR(__xludf.DUMMYFUNCTION("IF(ISBLANK(D96),""NA"", VLOOKUP(D96,IMPORTRANGE(""https://docs.google.com/spreadsheets/d/1EdCvim__xyxvoo9WoburDTzYylznTCOJBHcnu7eurMw/edit?gid=15948134#gid=15948134"", ""Input!A1:B2000""),2,FALSE()))"),"computed metrics")</f>
        <v>computed metrics</v>
      </c>
    </row>
    <row r="97" hidden="1">
      <c r="A97" s="1" t="s">
        <v>318</v>
      </c>
      <c r="B97" s="1">
        <v>5.0</v>
      </c>
      <c r="C97" s="1" t="s">
        <v>319</v>
      </c>
      <c r="D97" s="1" t="s">
        <v>33</v>
      </c>
      <c r="E97" s="14" t="s">
        <v>320</v>
      </c>
      <c r="F97" s="14" t="s">
        <v>321</v>
      </c>
      <c r="G97" s="1" t="s">
        <v>44</v>
      </c>
      <c r="H97" s="15" t="s">
        <v>322</v>
      </c>
      <c r="J97" s="8" t="str">
        <f>IFERROR(__xludf.DUMMYFUNCTION("IF(ISBLANK(F97),""NA"", VLOOKUP(F97,IMPORTRANGE(""https://docs.google.com/spreadsheets/d/1EdCvim__xyxvoo9WoburDTzYylznTCOJBHcnu7eurMw/edit?gid=15948134#gid=15948134"", ""Purpose!A1:B1000""),2,FALSE()))"),"to collect data, code data")</f>
        <v>to collect data, code data</v>
      </c>
      <c r="K97" s="8" t="str">
        <f>IFERROR(__xludf.DUMMYFUNCTION("IF(ISBLANK(E97),""NA"", VLOOKUP(E97,IMPORTRANGE(""https://docs.google.com/spreadsheets/d/1EdCvim__xyxvoo9WoburDTzYylznTCOJBHcnu7eurMw/edit?gid=15948134#gid=15948134"", ""Technique!A1:B2000""),2,FALSE()))"),"collect own data, student programms")</f>
        <v>collect own data, student programms</v>
      </c>
      <c r="L97" s="8" t="str">
        <f>IFERROR(__xludf.DUMMYFUNCTION("IF(ISBLANK(D97),""NA"", VLOOKUP(D97,IMPORTRANGE(""https://docs.google.com/spreadsheets/d/1EdCvim__xyxvoo9WoburDTzYylznTCOJBHcnu7eurMw/edit?gid=15948134#gid=15948134"", ""Input!A1:B2000""),2,FALSE()))"),"")</f>
        <v/>
      </c>
    </row>
    <row r="98" hidden="1">
      <c r="A98" s="1" t="s">
        <v>318</v>
      </c>
      <c r="B98" s="1">
        <v>6.0</v>
      </c>
      <c r="C98" s="1" t="s">
        <v>323</v>
      </c>
      <c r="D98" s="1" t="s">
        <v>205</v>
      </c>
      <c r="E98" s="16" t="s">
        <v>324</v>
      </c>
      <c r="F98" s="14" t="s">
        <v>325</v>
      </c>
      <c r="G98" s="1" t="s">
        <v>20</v>
      </c>
      <c r="H98" s="15" t="s">
        <v>322</v>
      </c>
      <c r="J98" s="8" t="str">
        <f>IFERROR(__xludf.DUMMYFUNCTION("IF(ISBLANK(F98),""NA"", VLOOKUP(F98,IMPORTRANGE(""https://docs.google.com/spreadsheets/d/1EdCvim__xyxvoo9WoburDTzYylznTCOJBHcnu7eurMw/edit?gid=15948134#gid=15948134"", ""Purpose!A1:B1000""),2,FALSE()))"),"to anonimize the data")</f>
        <v>to anonimize the data</v>
      </c>
      <c r="K98" s="8" t="str">
        <f>IFERROR(__xludf.DUMMYFUNCTION("IF(ISBLANK(E98),""NA"", VLOOKUP(E98,IMPORTRANGE(""https://docs.google.com/spreadsheets/d/1EdCvim__xyxvoo9WoburDTzYylznTCOJBHcnu7eurMw/edit?gid=15948134#gid=15948134"", ""Technique!A1:B2000""),2,FALSE()))"),"remove comments + remove hash developers name")</f>
        <v>remove comments + remove hash developers name</v>
      </c>
      <c r="L98" s="8" t="str">
        <f>IFERROR(__xludf.DUMMYFUNCTION("IF(ISBLANK(D98),""NA"", VLOOKUP(D98,IMPORTRANGE(""https://docs.google.com/spreadsheets/d/1EdCvim__xyxvoo9WoburDTzYylznTCOJBHcnu7eurMw/edit?gid=15948134#gid=15948134"", ""Input!A1:B2000""),2,FALSE()))"),"data")</f>
        <v>data</v>
      </c>
    </row>
    <row r="99" hidden="1">
      <c r="A99" s="1" t="s">
        <v>318</v>
      </c>
      <c r="B99" s="1">
        <v>7.0</v>
      </c>
      <c r="C99" s="1" t="s">
        <v>326</v>
      </c>
      <c r="D99" s="1" t="s">
        <v>327</v>
      </c>
      <c r="E99" s="16" t="s">
        <v>328</v>
      </c>
      <c r="F99" s="1" t="s">
        <v>33</v>
      </c>
      <c r="G99" s="1" t="s">
        <v>20</v>
      </c>
      <c r="H99" s="15" t="s">
        <v>322</v>
      </c>
      <c r="J99" s="8" t="str">
        <f>IFERROR(__xludf.DUMMYFUNCTION("IF(ISBLANK(F99),""NA"", VLOOKUP(F99,IMPORTRANGE(""https://docs.google.com/spreadsheets/d/1EdCvim__xyxvoo9WoburDTzYylznTCOJBHcnu7eurMw/edit?gid=15948134#gid=15948134"", ""Purpose!A1:B1000""),2,FALSE()))"),"")</f>
        <v/>
      </c>
      <c r="K99" s="8" t="str">
        <f>IFERROR(__xludf.DUMMYFUNCTION("IF(ISBLANK(E99),""NA"", VLOOKUP(E99,IMPORTRANGE(""https://docs.google.com/spreadsheets/d/1EdCvim__xyxvoo9WoburDTzYylznTCOJBHcnu7eurMw/edit?gid=15948134#gid=15948134"", ""Technique!A1:B2000""),2,FALSE()))"),"split data into train and test")</f>
        <v>split data into train and test</v>
      </c>
      <c r="L99" s="8" t="str">
        <f>IFERROR(__xludf.DUMMYFUNCTION("IF(ISBLANK(D99),""NA"", VLOOKUP(D99,IMPORTRANGE(""https://docs.google.com/spreadsheets/d/1EdCvim__xyxvoo9WoburDTzYylznTCOJBHcnu7eurMw/edit?gid=15948134#gid=15948134"", ""Input!A1:B2000""),2,FALSE()))"),"data (anonimized)")</f>
        <v>data (anonimized)</v>
      </c>
    </row>
    <row r="100" hidden="1">
      <c r="A100" s="1" t="s">
        <v>318</v>
      </c>
      <c r="B100" s="1">
        <v>8.0</v>
      </c>
      <c r="C100" s="1" t="s">
        <v>326</v>
      </c>
      <c r="D100" s="1" t="s">
        <v>329</v>
      </c>
      <c r="E100" s="14" t="s">
        <v>330</v>
      </c>
      <c r="F100" s="14" t="s">
        <v>331</v>
      </c>
      <c r="G100" s="1" t="s">
        <v>39</v>
      </c>
      <c r="H100" s="15" t="s">
        <v>322</v>
      </c>
      <c r="J100" s="8" t="str">
        <f>IFERROR(__xludf.DUMMYFUNCTION("IF(ISBLANK(F100),""NA"", VLOOKUP(F100,IMPORTRANGE(""https://docs.google.com/spreadsheets/d/1EdCvim__xyxvoo9WoburDTzYylznTCOJBHcnu7eurMw/edit?gid=15948134#gid=15948134"", ""Purpose!A1:B1000""),2,FALSE()))"),"to evaluate model(s)")</f>
        <v>to evaluate model(s)</v>
      </c>
      <c r="K100" s="8" t="str">
        <f>IFERROR(__xludf.DUMMYFUNCTION("IF(ISBLANK(E100),""NA"", VLOOKUP(E100,IMPORTRANGE(""https://docs.google.com/spreadsheets/d/1EdCvim__xyxvoo9WoburDTzYylznTCOJBHcnu7eurMw/edit?gid=15948134#gid=15948134"", ""Technique!A1:B2000""),2,FALSE()))"),"compare directly different approaches (no statistical tests, not OWN approach)")</f>
        <v>compare directly different approaches (no statistical tests, not OWN approach)</v>
      </c>
      <c r="L100" s="8" t="str">
        <f>IFERROR(__xludf.DUMMYFUNCTION("IF(ISBLANK(D100),""NA"", VLOOKUP(D100,IMPORTRANGE(""https://docs.google.com/spreadsheets/d/1EdCvim__xyxvoo9WoburDTzYylznTCOJBHcnu7eurMw/edit?gid=15948134#gid=15948134"", ""Input!A1:B2000""),2,FALSE()))"),"computed metrics of multiple models")</f>
        <v>computed metrics of multiple models</v>
      </c>
    </row>
    <row r="101" hidden="1">
      <c r="A101" s="1" t="s">
        <v>318</v>
      </c>
      <c r="B101" s="1" t="s">
        <v>332</v>
      </c>
      <c r="C101" s="1" t="s">
        <v>326</v>
      </c>
      <c r="D101" s="1" t="s">
        <v>333</v>
      </c>
      <c r="E101" s="14" t="s">
        <v>334</v>
      </c>
      <c r="F101" s="14" t="s">
        <v>335</v>
      </c>
      <c r="G101" s="1" t="s">
        <v>39</v>
      </c>
      <c r="H101" s="15" t="s">
        <v>322</v>
      </c>
      <c r="J101" s="8" t="str">
        <f>IFERROR(__xludf.DUMMYFUNCTION("IF(ISBLANK(F101),""NA"", VLOOKUP(F101,IMPORTRANGE(""https://docs.google.com/spreadsheets/d/1EdCvim__xyxvoo9WoburDTzYylznTCOJBHcnu7eurMw/edit?gid=15948134#gid=15948134"", ""Purpose!A1:B1000""),2,FALSE()))"),"to understand whether there is a relation between a data characteristic and the performance")</f>
        <v>to understand whether there is a relation between a data characteristic and the performance</v>
      </c>
      <c r="K101" s="8" t="str">
        <f>IFERROR(__xludf.DUMMYFUNCTION("IF(ISBLANK(E101),""NA"", VLOOKUP(E101,IMPORTRANGE(""https://docs.google.com/spreadsheets/d/1EdCvim__xyxvoo9WoburDTzYylznTCOJBHcnu7eurMw/edit?gid=15948134#gid=15948134"", ""Technique!A1:B2000""),2,FALSE()))"),"evaluate the model using a linear regression")</f>
        <v>evaluate the model using a linear regression</v>
      </c>
      <c r="L101" s="8" t="str">
        <f>IFERROR(__xludf.DUMMYFUNCTION("IF(ISBLANK(D101),""NA"", VLOOKUP(D101,IMPORTRANGE(""https://docs.google.com/spreadsheets/d/1EdCvim__xyxvoo9WoburDTzYylznTCOJBHcnu7eurMw/edit?gid=15948134#gid=15948134"", ""Input!A1:B2000""),2,FALSE()))"),"data + model(s)")</f>
        <v>data + model(s)</v>
      </c>
    </row>
    <row r="102" hidden="1">
      <c r="A102" s="1" t="s">
        <v>318</v>
      </c>
      <c r="B102" s="1" t="s">
        <v>268</v>
      </c>
      <c r="C102" s="1" t="s">
        <v>326</v>
      </c>
      <c r="D102" s="1" t="s">
        <v>333</v>
      </c>
      <c r="E102" s="14" t="s">
        <v>336</v>
      </c>
      <c r="F102" s="14" t="s">
        <v>337</v>
      </c>
      <c r="G102" s="1" t="s">
        <v>39</v>
      </c>
      <c r="H102" s="15" t="s">
        <v>322</v>
      </c>
      <c r="J102" s="8" t="str">
        <f>IFERROR(__xludf.DUMMYFUNCTION("IF(ISBLANK(F102),""NA"", VLOOKUP(F102,IMPORTRANGE(""https://docs.google.com/spreadsheets/d/1EdCvim__xyxvoo9WoburDTzYylznTCOJBHcnu7eurMw/edit?gid=15948134#gid=15948134"", ""Purpose!A1:B1000""),2,FALSE()))"),"to achieve statistically significant results")</f>
        <v>to achieve statistically significant results</v>
      </c>
      <c r="K102" s="8" t="str">
        <f>IFERROR(__xludf.DUMMYFUNCTION("IF(ISBLANK(E102),""NA"", VLOOKUP(E102,IMPORTRANGE(""https://docs.google.com/spreadsheets/d/1EdCvim__xyxvoo9WoburDTzYylznTCOJBHcnu7eurMw/edit?gid=15948134#gid=15948134"", ""Technique!A1:B2000""),2,FALSE()))"),"multiple runs/experiments")</f>
        <v>multiple runs/experiments</v>
      </c>
      <c r="L102" s="8" t="str">
        <f>IFERROR(__xludf.DUMMYFUNCTION("IF(ISBLANK(D102),""NA"", VLOOKUP(D102,IMPORTRANGE(""https://docs.google.com/spreadsheets/d/1EdCvim__xyxvoo9WoburDTzYylznTCOJBHcnu7eurMw/edit?gid=15948134#gid=15948134"", ""Input!A1:B2000""),2,FALSE()))"),"data + model(s)")</f>
        <v>data + model(s)</v>
      </c>
    </row>
    <row r="103" hidden="1">
      <c r="A103" s="1" t="s">
        <v>318</v>
      </c>
      <c r="B103" s="1" t="s">
        <v>338</v>
      </c>
      <c r="C103" s="1" t="s">
        <v>326</v>
      </c>
      <c r="D103" s="1" t="s">
        <v>333</v>
      </c>
      <c r="E103" s="14" t="s">
        <v>339</v>
      </c>
      <c r="F103" s="14" t="s">
        <v>340</v>
      </c>
      <c r="G103" s="1" t="s">
        <v>39</v>
      </c>
      <c r="H103" s="15" t="s">
        <v>322</v>
      </c>
      <c r="J103" s="8" t="str">
        <f>IFERROR(__xludf.DUMMYFUNCTION("IF(ISBLANK(F103),""NA"", VLOOKUP(F103,IMPORTRANGE(""https://docs.google.com/spreadsheets/d/1EdCvim__xyxvoo9WoburDTzYylznTCOJBHcnu7eurMw/edit?gid=15948134#gid=15948134"", ""Purpose!A1:B1000""),2,FALSE()))"),"to understand the impact of overfitting")</f>
        <v>to understand the impact of overfitting</v>
      </c>
      <c r="K103" s="8" t="str">
        <f>IFERROR(__xludf.DUMMYFUNCTION("IF(ISBLANK(E103),""NA"", VLOOKUP(E103,IMPORTRANGE(""https://docs.google.com/spreadsheets/d/1EdCvim__xyxvoo9WoburDTzYylznTCOJBHcnu7eurMw/edit?gid=15948134#gid=15948134"", ""Technique!A1:B2000""),2,FALSE()))"),"analyze the overfitting")</f>
        <v>analyze the overfitting</v>
      </c>
      <c r="L103" s="8" t="str">
        <f>IFERROR(__xludf.DUMMYFUNCTION("IF(ISBLANK(D103),""NA"", VLOOKUP(D103,IMPORTRANGE(""https://docs.google.com/spreadsheets/d/1EdCvim__xyxvoo9WoburDTzYylznTCOJBHcnu7eurMw/edit?gid=15948134#gid=15948134"", ""Input!A1:B2000""),2,FALSE()))"),"data + model(s)")</f>
        <v>data + model(s)</v>
      </c>
    </row>
    <row r="104" hidden="1">
      <c r="A104" s="18" t="s">
        <v>341</v>
      </c>
      <c r="B104" s="1" t="s">
        <v>342</v>
      </c>
      <c r="C104" s="8" t="s">
        <v>343</v>
      </c>
      <c r="D104" s="1" t="s">
        <v>344</v>
      </c>
      <c r="E104" s="16" t="s">
        <v>345</v>
      </c>
      <c r="F104" s="14" t="s">
        <v>346</v>
      </c>
      <c r="G104" s="1" t="s">
        <v>54</v>
      </c>
      <c r="H104" s="15" t="s">
        <v>347</v>
      </c>
      <c r="J104" s="8" t="str">
        <f>IFERROR(__xludf.DUMMYFUNCTION("IF(ISBLANK(F104),""NA"", VLOOKUP(F104,IMPORTRANGE(""https://docs.google.com/spreadsheets/d/1EdCvim__xyxvoo9WoburDTzYylznTCOJBHcnu7eurMw/edit?gid=15948134#gid=15948134"", ""Purpose!A1:B1000""),2,FALSE()))"),"to group similar high dimensional samples")</f>
        <v>to group similar high dimensional samples</v>
      </c>
      <c r="K104" s="8" t="str">
        <f>IFERROR(__xludf.DUMMYFUNCTION("IF(ISBLANK(E104),""NA"", VLOOKUP(E104,IMPORTRANGE(""https://docs.google.com/spreadsheets/d/1EdCvim__xyxvoo9WoburDTzYylznTCOJBHcnu7eurMw/edit?gid=15948134#gid=15948134"", ""Technique!A1:B2000""),2,FALSE()))"),"clustering, CLOPE")</f>
        <v>clustering, CLOPE</v>
      </c>
      <c r="L104" s="8" t="str">
        <f>IFERROR(__xludf.DUMMYFUNCTION("IF(ISBLANK(D104),""NA"", VLOOKUP(D104,IMPORTRANGE(""https://docs.google.com/spreadsheets/d/1EdCvim__xyxvoo9WoburDTzYylznTCOJBHcnu7eurMw/edit?gid=15948134#gid=15948134"", ""Input!A1:B2000""),2,FALSE()))"),"tabular data (boolean representation of run attributes)")</f>
        <v>tabular data (boolean representation of run attributes)</v>
      </c>
    </row>
    <row r="105" hidden="1">
      <c r="A105" s="18" t="s">
        <v>341</v>
      </c>
      <c r="B105" s="1" t="s">
        <v>268</v>
      </c>
      <c r="C105" s="8" t="s">
        <v>343</v>
      </c>
      <c r="D105" s="1" t="s">
        <v>348</v>
      </c>
      <c r="E105" s="12" t="s">
        <v>349</v>
      </c>
      <c r="F105" s="14" t="s">
        <v>350</v>
      </c>
      <c r="G105" s="1" t="s">
        <v>54</v>
      </c>
      <c r="H105" s="15" t="s">
        <v>347</v>
      </c>
      <c r="J105" s="8" t="str">
        <f>IFERROR(__xludf.DUMMYFUNCTION("IF(ISBLANK(F105),""NA"", VLOOKUP(F105,IMPORTRANGE(""https://docs.google.com/spreadsheets/d/1EdCvim__xyxvoo9WoburDTzYylznTCOJBHcnu7eurMw/edit?gid=15948134#gid=15948134"", ""Purpose!A1:B1000""),2,FALSE()))"),"to identify commonalities within each cluster")</f>
        <v>to identify commonalities within each cluster</v>
      </c>
      <c r="K105" s="8" t="str">
        <f>IFERROR(__xludf.DUMMYFUNCTION("IF(ISBLANK(E105),""NA"", VLOOKUP(E105,IMPORTRANGE(""https://docs.google.com/spreadsheets/d/1EdCvim__xyxvoo9WoburDTzYylznTCOJBHcnu7eurMw/edit?gid=15948134#gid=15948134"", ""Technique!A1:B2000""),2,FALSE()))"),"use decision tree")</f>
        <v>use decision tree</v>
      </c>
      <c r="L105" s="8" t="str">
        <f>IFERROR(__xludf.DUMMYFUNCTION("IF(ISBLANK(D105),""NA"", VLOOKUP(D105,IMPORTRANGE(""https://docs.google.com/spreadsheets/d/1EdCvim__xyxvoo9WoburDTzYylznTCOJBHcnu7eurMw/edit?gid=15948134#gid=15948134"", ""Input!A1:B2000""),2,FALSE()))"),"model(s)' output, clusters")</f>
        <v>model(s)' output, clusters</v>
      </c>
    </row>
    <row r="106" hidden="1">
      <c r="A106" s="18" t="s">
        <v>341</v>
      </c>
      <c r="B106" s="1" t="s">
        <v>299</v>
      </c>
      <c r="C106" s="8" t="s">
        <v>351</v>
      </c>
      <c r="E106" s="12" t="s">
        <v>352</v>
      </c>
      <c r="F106" s="9" t="s">
        <v>353</v>
      </c>
      <c r="G106" s="8" t="s">
        <v>54</v>
      </c>
      <c r="H106" s="15" t="s">
        <v>347</v>
      </c>
      <c r="J106" s="8" t="str">
        <f>IFERROR(__xludf.DUMMYFUNCTION("IF(ISBLANK(F106),""NA"", VLOOKUP(F106,IMPORTRANGE(""https://docs.google.com/spreadsheets/d/1EdCvim__xyxvoo9WoburDTzYylznTCOJBHcnu7eurMw/edit?gid=15948134#gid=15948134"", ""Purpose!A1:B1000""),2,FALSE()))"),"to find the best hyperparameters in general, adaptively")</f>
        <v>to find the best hyperparameters in general, adaptively</v>
      </c>
      <c r="K106" s="8" t="str">
        <f>IFERROR(__xludf.DUMMYFUNCTION("IF(ISBLANK(E106),""NA"", VLOOKUP(E106,IMPORTRANGE(""https://docs.google.com/spreadsheets/d/1EdCvim__xyxvoo9WoburDTzYylznTCOJBHcnu7eurMw/edit?gid=15948134#gid=15948134"", ""Technique!A1:B2000""),2,FALSE()))"),"use a voting system")</f>
        <v>use a voting system</v>
      </c>
      <c r="L106" s="8" t="str">
        <f>IFERROR(__xludf.DUMMYFUNCTION("IF(ISBLANK(D106),""NA"", VLOOKUP(D106,IMPORTRANGE(""https://docs.google.com/spreadsheets/d/1EdCvim__xyxvoo9WoburDTzYylznTCOJBHcnu7eurMw/edit?gid=15948134#gid=15948134"", ""Input!A1:B2000""),2,FALSE()))"),"NA")</f>
        <v>NA</v>
      </c>
    </row>
    <row r="107" hidden="1">
      <c r="A107" s="18" t="s">
        <v>341</v>
      </c>
      <c r="B107" s="1">
        <v>12.0</v>
      </c>
      <c r="C107" s="1" t="s">
        <v>354</v>
      </c>
      <c r="D107" s="1" t="s">
        <v>33</v>
      </c>
      <c r="E107" s="14" t="s">
        <v>355</v>
      </c>
      <c r="F107" s="14" t="s">
        <v>90</v>
      </c>
      <c r="G107" s="1" t="s">
        <v>91</v>
      </c>
      <c r="H107" s="15" t="s">
        <v>347</v>
      </c>
      <c r="J107" s="8" t="str">
        <f>IFERROR(__xludf.DUMMYFUNCTION("IF(ISBLANK(F107),""NA"", VLOOKUP(F107,IMPORTRANGE(""https://docs.google.com/spreadsheets/d/1EdCvim__xyxvoo9WoburDTzYylznTCOJBHcnu7eurMw/edit?gid=15948134#gid=15948134"", ""Purpose!A1:B1000""),2,FALSE()))"),"to select a model")</f>
        <v>to select a model</v>
      </c>
      <c r="K107" s="8" t="str">
        <f>IFERROR(__xludf.DUMMYFUNCTION("IF(ISBLANK(E107),""NA"", VLOOKUP(E107,IMPORTRANGE(""https://docs.google.com/spreadsheets/d/1EdCvim__xyxvoo9WoburDTzYylznTCOJBHcnu7eurMw/edit?gid=15948134#gid=15948134"", ""Technique!A1:B2000""),2,FALSE()))"),"select model based on popularity")</f>
        <v>select model based on popularity</v>
      </c>
      <c r="L107" s="8" t="str">
        <f>IFERROR(__xludf.DUMMYFUNCTION("IF(ISBLANK(D107),""NA"", VLOOKUP(D107,IMPORTRANGE(""https://docs.google.com/spreadsheets/d/1EdCvim__xyxvoo9WoburDTzYylznTCOJBHcnu7eurMw/edit?gid=15948134#gid=15948134"", ""Input!A1:B2000""),2,FALSE()))"),"")</f>
        <v/>
      </c>
    </row>
    <row r="108" hidden="1">
      <c r="A108" s="18" t="s">
        <v>341</v>
      </c>
      <c r="B108" s="1">
        <v>4.0</v>
      </c>
      <c r="C108" s="8" t="s">
        <v>356</v>
      </c>
      <c r="E108" s="9" t="s">
        <v>357</v>
      </c>
      <c r="F108" s="9" t="s">
        <v>358</v>
      </c>
      <c r="G108" s="8" t="s">
        <v>39</v>
      </c>
      <c r="H108" s="15" t="s">
        <v>347</v>
      </c>
      <c r="J108" s="8" t="str">
        <f>IFERROR(__xludf.DUMMYFUNCTION("IF(ISBLANK(F108),""NA"", VLOOKUP(F108,IMPORTRANGE(""https://docs.google.com/spreadsheets/d/1EdCvim__xyxvoo9WoburDTzYylznTCOJBHcnu7eurMw/edit?gid=15948134#gid=15948134"", ""Purpose!A1:B1000""),2,FALSE()))"),"to evaluate model(s) functionally (e.g., accuracy)")</f>
        <v>to evaluate model(s) functionally (e.g., accuracy)</v>
      </c>
      <c r="K108" s="8" t="str">
        <f>IFERROR(__xludf.DUMMYFUNCTION("IF(ISBLANK(E108),""NA"", VLOOKUP(E108,IMPORTRANGE(""https://docs.google.com/spreadsheets/d/1EdCvim__xyxvoo9WoburDTzYylznTCOJBHcnu7eurMw/edit?gid=15948134#gid=15948134"", ""Technique!A1:B2000""),2,FALSE()))"),"use existing benchmarks")</f>
        <v>use existing benchmarks</v>
      </c>
      <c r="L108" s="8" t="str">
        <f>IFERROR(__xludf.DUMMYFUNCTION("IF(ISBLANK(D108),""NA"", VLOOKUP(D108,IMPORTRANGE(""https://docs.google.com/spreadsheets/d/1EdCvim__xyxvoo9WoburDTzYylznTCOJBHcnu7eurMw/edit?gid=15948134#gid=15948134"", ""Input!A1:B2000""),2,FALSE()))"),"NA")</f>
        <v>NA</v>
      </c>
    </row>
    <row r="109" hidden="1">
      <c r="A109" s="18" t="s">
        <v>341</v>
      </c>
      <c r="B109" s="1">
        <v>5.0</v>
      </c>
      <c r="C109" s="8" t="s">
        <v>359</v>
      </c>
      <c r="E109" s="9" t="s">
        <v>360</v>
      </c>
      <c r="F109" s="9" t="s">
        <v>361</v>
      </c>
      <c r="G109" s="8" t="s">
        <v>39</v>
      </c>
      <c r="H109" s="15" t="s">
        <v>347</v>
      </c>
      <c r="J109" s="8" t="str">
        <f>IFERROR(__xludf.DUMMYFUNCTION("IF(ISBLANK(F109),""NA"", VLOOKUP(F109,IMPORTRANGE(""https://docs.google.com/spreadsheets/d/1EdCvim__xyxvoo9WoburDTzYylznTCOJBHcnu7eurMw/edit?gid=15948134#gid=15948134"", ""Purpose!A1:B1000""),2,FALSE()))"),"to visualize results")</f>
        <v>to visualize results</v>
      </c>
      <c r="K109" s="8" t="str">
        <f>IFERROR(__xludf.DUMMYFUNCTION("IF(ISBLANK(E109),""NA"", VLOOKUP(E109,IMPORTRANGE(""https://docs.google.com/spreadsheets/d/1EdCvim__xyxvoo9WoburDTzYylznTCOJBHcnu7eurMw/edit?gid=15948134#gid=15948134"", ""Technique!A1:B2000""),2,FALSE()))"),"plot results (i.e., boxplots)")</f>
        <v>plot results (i.e., boxplots)</v>
      </c>
      <c r="L109" s="8" t="str">
        <f>IFERROR(__xludf.DUMMYFUNCTION("IF(ISBLANK(D109),""NA"", VLOOKUP(D109,IMPORTRANGE(""https://docs.google.com/spreadsheets/d/1EdCvim__xyxvoo9WoburDTzYylznTCOJBHcnu7eurMw/edit?gid=15948134#gid=15948134"", ""Input!A1:B2000""),2,FALSE()))"),"NA")</f>
        <v>NA</v>
      </c>
    </row>
    <row r="110" hidden="1">
      <c r="A110" s="18" t="s">
        <v>341</v>
      </c>
      <c r="B110" s="1">
        <v>6.0</v>
      </c>
      <c r="C110" s="8" t="s">
        <v>362</v>
      </c>
      <c r="E110" s="14" t="s">
        <v>363</v>
      </c>
      <c r="F110" s="9" t="s">
        <v>364</v>
      </c>
      <c r="G110" s="8" t="s">
        <v>39</v>
      </c>
      <c r="H110" s="15" t="s">
        <v>347</v>
      </c>
      <c r="J110" s="8" t="str">
        <f>IFERROR(__xludf.DUMMYFUNCTION("IF(ISBLANK(F110),""NA"", VLOOKUP(F110,IMPORTRANGE(""https://docs.google.com/spreadsheets/d/1EdCvim__xyxvoo9WoburDTzYylznTCOJBHcnu7eurMw/edit?gid=15948134#gid=15948134"", ""Purpose!A1:B1000""),2,FALSE()))"),"to evaluate model(s) functionally (e.g., accuracy) against others")</f>
        <v>to evaluate model(s) functionally (e.g., accuracy) against others</v>
      </c>
      <c r="K110" s="8" t="str">
        <f>IFERROR(__xludf.DUMMYFUNCTION("IF(ISBLANK(E110),""NA"", VLOOKUP(E110,IMPORTRANGE(""https://docs.google.com/spreadsheets/d/1EdCvim__xyxvoo9WoburDTzYylznTCOJBHcnu7eurMw/edit?gid=15948134#gid=15948134"", ""Technique!A1:B2000""),2,FALSE()))"),"compare with baseline model(s), state-of-the-art baselines non ml (CIT, random baseline)")</f>
        <v>compare with baseline model(s), state-of-the-art baselines non ml (CIT, random baseline)</v>
      </c>
      <c r="L110" s="8" t="str">
        <f>IFERROR(__xludf.DUMMYFUNCTION("IF(ISBLANK(D110),""NA"", VLOOKUP(D110,IMPORTRANGE(""https://docs.google.com/spreadsheets/d/1EdCvim__xyxvoo9WoburDTzYylznTCOJBHcnu7eurMw/edit?gid=15948134#gid=15948134"", ""Input!A1:B2000""),2,FALSE()))"),"NA")</f>
        <v>NA</v>
      </c>
    </row>
    <row r="111" hidden="1">
      <c r="A111" s="18" t="s">
        <v>341</v>
      </c>
      <c r="B111" s="1">
        <v>7.0</v>
      </c>
      <c r="C111" s="8" t="s">
        <v>362</v>
      </c>
      <c r="E111" s="12" t="s">
        <v>365</v>
      </c>
      <c r="F111" s="9" t="s">
        <v>366</v>
      </c>
      <c r="G111" s="1" t="s">
        <v>367</v>
      </c>
      <c r="H111" s="15" t="s">
        <v>347</v>
      </c>
      <c r="J111" s="8" t="str">
        <f>IFERROR(__xludf.DUMMYFUNCTION("IF(ISBLANK(F111),""NA"", VLOOKUP(F111,IMPORTRANGE(""https://docs.google.com/spreadsheets/d/1EdCvim__xyxvoo9WoburDTzYylznTCOJBHcnu7eurMw/edit?gid=15948134#gid=15948134"", ""Purpose!A1:B1000""),2,FALSE()))"),"to avoid race conditions")</f>
        <v>to avoid race conditions</v>
      </c>
      <c r="K111" s="8" t="str">
        <f>IFERROR(__xludf.DUMMYFUNCTION("IF(ISBLANK(E111),""NA"", VLOOKUP(E111,IMPORTRANGE(""https://docs.google.com/spreadsheets/d/1EdCvim__xyxvoo9WoburDTzYylznTCOJBHcnu7eurMw/edit?gid=15948134#gid=15948134"", ""Technique!A1:B2000""),2,FALSE()))"),"multiple runs/experiments")</f>
        <v>multiple runs/experiments</v>
      </c>
      <c r="L111" s="8" t="str">
        <f>IFERROR(__xludf.DUMMYFUNCTION("IF(ISBLANK(D111),""NA"", VLOOKUP(D111,IMPORTRANGE(""https://docs.google.com/spreadsheets/d/1EdCvim__xyxvoo9WoburDTzYylznTCOJBHcnu7eurMw/edit?gid=15948134#gid=15948134"", ""Input!A1:B2000""),2,FALSE()))"),"NA")</f>
        <v>NA</v>
      </c>
    </row>
    <row r="112" hidden="1">
      <c r="A112" s="18" t="s">
        <v>341</v>
      </c>
      <c r="B112" s="1">
        <v>8.0</v>
      </c>
      <c r="C112" s="8" t="s">
        <v>362</v>
      </c>
      <c r="E112" s="9" t="s">
        <v>368</v>
      </c>
      <c r="F112" s="9" t="s">
        <v>361</v>
      </c>
      <c r="G112" s="8" t="s">
        <v>39</v>
      </c>
      <c r="H112" s="15" t="s">
        <v>347</v>
      </c>
      <c r="J112" s="8" t="str">
        <f>IFERROR(__xludf.DUMMYFUNCTION("IF(ISBLANK(F112),""NA"", VLOOKUP(F112,IMPORTRANGE(""https://docs.google.com/spreadsheets/d/1EdCvim__xyxvoo9WoburDTzYylznTCOJBHcnu7eurMw/edit?gid=15948134#gid=15948134"", ""Purpose!A1:B1000""),2,FALSE()))"),"to visualize results")</f>
        <v>to visualize results</v>
      </c>
      <c r="K112" s="8" t="str">
        <f>IFERROR(__xludf.DUMMYFUNCTION("IF(ISBLANK(E112),""NA"", VLOOKUP(E112,IMPORTRANGE(""https://docs.google.com/spreadsheets/d/1EdCvim__xyxvoo9WoburDTzYylznTCOJBHcnu7eurMw/edit?gid=15948134#gid=15948134"", ""Technique!A1:B2000""),2,FALSE()))"),"plot results (i.e., line plots)")</f>
        <v>plot results (i.e., line plots)</v>
      </c>
      <c r="L112" s="8" t="str">
        <f>IFERROR(__xludf.DUMMYFUNCTION("IF(ISBLANK(D112),""NA"", VLOOKUP(D112,IMPORTRANGE(""https://docs.google.com/spreadsheets/d/1EdCvim__xyxvoo9WoburDTzYylznTCOJBHcnu7eurMw/edit?gid=15948134#gid=15948134"", ""Input!A1:B2000""),2,FALSE()))"),"NA")</f>
        <v>NA</v>
      </c>
    </row>
    <row r="113" hidden="1">
      <c r="A113" s="1" t="s">
        <v>369</v>
      </c>
      <c r="B113" s="1">
        <v>2.0</v>
      </c>
      <c r="C113" s="1" t="s">
        <v>370</v>
      </c>
      <c r="D113" s="1" t="s">
        <v>205</v>
      </c>
      <c r="E113" s="15" t="s">
        <v>371</v>
      </c>
      <c r="F113" s="1" t="s">
        <v>33</v>
      </c>
      <c r="G113" s="1" t="s">
        <v>54</v>
      </c>
      <c r="H113" s="15" t="s">
        <v>372</v>
      </c>
      <c r="J113" s="8" t="str">
        <f>IFERROR(__xludf.DUMMYFUNCTION("IF(ISBLANK(F113),""NA"", VLOOKUP(F113,IMPORTRANGE(""https://docs.google.com/spreadsheets/d/1EdCvim__xyxvoo9WoburDTzYylznTCOJBHcnu7eurMw/edit?gid=15948134#gid=15948134"", ""Purpose!A1:B1000""),2,FALSE()))"),"")</f>
        <v/>
      </c>
      <c r="K113" s="8" t="str">
        <f>IFERROR(__xludf.DUMMYFUNCTION("IF(ISBLANK(E113),""NA"", VLOOKUP(E113,IMPORTRANGE(""https://docs.google.com/spreadsheets/d/1EdCvim__xyxvoo9WoburDTzYylznTCOJBHcnu7eurMw/edit?gid=15948134#gid=15948134"", ""Technique!A1:B2000""),2,FALSE()))"),"use reinforcement learning")</f>
        <v>use reinforcement learning</v>
      </c>
      <c r="L113" s="8" t="str">
        <f>IFERROR(__xludf.DUMMYFUNCTION("IF(ISBLANK(D113),""NA"", VLOOKUP(D113,IMPORTRANGE(""https://docs.google.com/spreadsheets/d/1EdCvim__xyxvoo9WoburDTzYylznTCOJBHcnu7eurMw/edit?gid=15948134#gid=15948134"", ""Input!A1:B2000""),2,FALSE()))"),"data")</f>
        <v>data</v>
      </c>
    </row>
    <row r="114" hidden="1">
      <c r="A114" s="1" t="s">
        <v>369</v>
      </c>
      <c r="B114" s="1">
        <v>3.0</v>
      </c>
      <c r="C114" s="1" t="s">
        <v>373</v>
      </c>
      <c r="D114" s="1" t="s">
        <v>374</v>
      </c>
      <c r="E114" s="1" t="s">
        <v>375</v>
      </c>
      <c r="F114" s="14" t="s">
        <v>376</v>
      </c>
      <c r="G114" s="1" t="s">
        <v>91</v>
      </c>
      <c r="H114" s="15" t="s">
        <v>372</v>
      </c>
      <c r="J114" s="8" t="str">
        <f>IFERROR(__xludf.DUMMYFUNCTION("IF(ISBLANK(F114),""NA"", VLOOKUP(F114,IMPORTRANGE(""https://docs.google.com/spreadsheets/d/1EdCvim__xyxvoo9WoburDTzYylznTCOJBHcnu7eurMw/edit?gid=15948134#gid=15948134"", ""Purpose!A1:B1000""),2,FALSE()))"),"to avoid assuming behaviours in a model (i.e., later decisions are more important)")</f>
        <v>to avoid assuming behaviours in a model (i.e., later decisions are more important)</v>
      </c>
      <c r="K114" s="8" t="str">
        <f>IFERROR(__xludf.DUMMYFUNCTION("IF(ISBLANK(E114),""NA"", VLOOKUP(E114,IMPORTRANGE(""https://docs.google.com/spreadsheets/d/1EdCvim__xyxvoo9WoburDTzYylznTCOJBHcnu7eurMw/edit?gid=15948134#gid=15948134"", ""Technique!A1:B2000""),2,FALSE()))"),"reward function, do not use a discount factor")</f>
        <v>reward function, do not use a discount factor</v>
      </c>
      <c r="L114" s="8" t="str">
        <f>IFERROR(__xludf.DUMMYFUNCTION("IF(ISBLANK(D114),""NA"", VLOOKUP(D114,IMPORTRANGE(""https://docs.google.com/spreadsheets/d/1EdCvim__xyxvoo9WoburDTzYylznTCOJBHcnu7eurMw/edit?gid=15948134#gid=15948134"", ""Input!A1:B2000""),2,FALSE()))"),"RL with monte carlo control model(s)")</f>
        <v>RL with monte carlo control model(s)</v>
      </c>
    </row>
    <row r="115" hidden="1">
      <c r="A115" s="1" t="s">
        <v>369</v>
      </c>
      <c r="B115" s="1">
        <v>4.0</v>
      </c>
      <c r="C115" s="1" t="s">
        <v>373</v>
      </c>
      <c r="D115" s="1" t="s">
        <v>374</v>
      </c>
      <c r="E115" s="1" t="s">
        <v>377</v>
      </c>
      <c r="F115" s="1" t="s">
        <v>33</v>
      </c>
      <c r="G115" s="1" t="s">
        <v>91</v>
      </c>
      <c r="H115" s="15" t="s">
        <v>372</v>
      </c>
      <c r="J115" s="8" t="str">
        <f>IFERROR(__xludf.DUMMYFUNCTION("IF(ISBLANK(F115),""NA"", VLOOKUP(F115,IMPORTRANGE(""https://docs.google.com/spreadsheets/d/1EdCvim__xyxvoo9WoburDTzYylznTCOJBHcnu7eurMw/edit?gid=15948134#gid=15948134"", ""Purpose!A1:B1000""),2,FALSE()))"),"")</f>
        <v/>
      </c>
      <c r="K115" s="8" t="str">
        <f>IFERROR(__xludf.DUMMYFUNCTION("IF(ISBLANK(E115),""NA"", VLOOKUP(E115,IMPORTRANGE(""https://docs.google.com/spreadsheets/d/1EdCvim__xyxvoo9WoburDTzYylznTCOJBHcnu7eurMw/edit?gid=15948134#gid=15948134"", ""Technique!A1:B2000""),2,FALSE()))"),"report model fine details (e.g., update the episode with a single-reward)")</f>
        <v>report model fine details (e.g., update the episode with a single-reward)</v>
      </c>
      <c r="L115" s="8" t="str">
        <f>IFERROR(__xludf.DUMMYFUNCTION("IF(ISBLANK(D115),""NA"", VLOOKUP(D115,IMPORTRANGE(""https://docs.google.com/spreadsheets/d/1EdCvim__xyxvoo9WoburDTzYylznTCOJBHcnu7eurMw/edit?gid=15948134#gid=15948134"", ""Input!A1:B2000""),2,FALSE()))"),"RL with monte carlo control model(s)")</f>
        <v>RL with monte carlo control model(s)</v>
      </c>
    </row>
    <row r="116" hidden="1">
      <c r="A116" s="1" t="s">
        <v>378</v>
      </c>
      <c r="B116" s="1">
        <v>12.0</v>
      </c>
      <c r="C116" s="1" t="s">
        <v>379</v>
      </c>
      <c r="D116" s="1" t="s">
        <v>380</v>
      </c>
      <c r="E116" s="14" t="s">
        <v>381</v>
      </c>
      <c r="F116" s="14" t="s">
        <v>98</v>
      </c>
      <c r="G116" s="1" t="s">
        <v>44</v>
      </c>
      <c r="H116" s="15" t="s">
        <v>382</v>
      </c>
      <c r="J116" s="8" t="str">
        <f>IFERROR(__xludf.DUMMYFUNCTION("IF(ISBLANK(F116),""NA"", VLOOKUP(F116,IMPORTRANGE(""https://docs.google.com/spreadsheets/d/1EdCvim__xyxvoo9WoburDTzYylznTCOJBHcnu7eurMw/edit?gid=15948134#gid=15948134"", ""Purpose!A1:B1000""),2,FALSE()))"),"to collect data")</f>
        <v>to collect data</v>
      </c>
      <c r="K116" s="8" t="str">
        <f>IFERROR(__xludf.DUMMYFUNCTION("IF(ISBLANK(E116),""NA"", VLOOKUP(E116,IMPORTRANGE(""https://docs.google.com/spreadsheets/d/1EdCvim__xyxvoo9WoburDTzYylznTCOJBHcnu7eurMw/edit?gid=15948134#gid=15948134"", ""Technique!A1:B2000""),2,FALSE()))"),"collect own data from textual data and components dependencies")</f>
        <v>collect own data from textual data and components dependencies</v>
      </c>
      <c r="L116" s="8" t="str">
        <f>IFERROR(__xludf.DUMMYFUNCTION("IF(ISBLANK(D116),""NA"", VLOOKUP(D116,IMPORTRANGE(""https://docs.google.com/spreadsheets/d/1EdCvim__xyxvoo9WoburDTzYylznTCOJBHcnu7eurMw/edit?gid=15948134#gid=15948134"", ""Input!A1:B2000""),2,FALSE()))"),"textual data (incident)")</f>
        <v>textual data (incident)</v>
      </c>
    </row>
    <row r="117" hidden="1">
      <c r="A117" s="1" t="s">
        <v>378</v>
      </c>
      <c r="B117" s="1">
        <v>13.0</v>
      </c>
      <c r="C117" s="1" t="s">
        <v>379</v>
      </c>
      <c r="D117" s="1" t="s">
        <v>383</v>
      </c>
      <c r="E117" s="14" t="s">
        <v>384</v>
      </c>
      <c r="F117" s="14" t="s">
        <v>385</v>
      </c>
      <c r="G117" s="1" t="s">
        <v>14</v>
      </c>
      <c r="H117" s="15" t="s">
        <v>382</v>
      </c>
      <c r="J117" s="8" t="str">
        <f>IFERROR(__xludf.DUMMYFUNCTION("IF(ISBLANK(F117),""NA"", VLOOKUP(F117,IMPORTRANGE(""https://docs.google.com/spreadsheets/d/1EdCvim__xyxvoo9WoburDTzYylznTCOJBHcnu7eurMw/edit?gid=15948134#gid=15948134"", ""Purpose!A1:B1000""),2,FALSE()))"),"to extract features, semantic features")</f>
        <v>to extract features, semantic features</v>
      </c>
      <c r="K117" s="8" t="str">
        <f>IFERROR(__xludf.DUMMYFUNCTION("IF(ISBLANK(E117),""NA"", VLOOKUP(E117,IMPORTRANGE(""https://docs.google.com/spreadsheets/d/1EdCvim__xyxvoo9WoburDTzYylznTCOJBHcnu7eurMw/edit?gid=15948134#gid=15948134"", ""Technique!A1:B2000""),2,FALSE()))"),"use a text encoder")</f>
        <v>use a text encoder</v>
      </c>
      <c r="L117" s="8" t="str">
        <f>IFERROR(__xludf.DUMMYFUNCTION("IF(ISBLANK(D117),""NA"", VLOOKUP(D117,IMPORTRANGE(""https://docs.google.com/spreadsheets/d/1EdCvim__xyxvoo9WoburDTzYylznTCOJBHcnu7eurMw/edit?gid=15948134#gid=15948134"", ""Input!A1:B2000""),2,FALSE()))"),"textual data (incident)")</f>
        <v>textual data (incident)</v>
      </c>
    </row>
    <row r="118" hidden="1">
      <c r="A118" s="1" t="s">
        <v>378</v>
      </c>
      <c r="B118" s="1">
        <v>14.0</v>
      </c>
      <c r="C118" s="1" t="s">
        <v>379</v>
      </c>
      <c r="D118" s="1" t="s">
        <v>386</v>
      </c>
      <c r="E118" s="14" t="s">
        <v>387</v>
      </c>
      <c r="F118" s="14" t="s">
        <v>388</v>
      </c>
      <c r="G118" s="1" t="s">
        <v>14</v>
      </c>
      <c r="H118" s="15" t="s">
        <v>382</v>
      </c>
      <c r="J118" s="8" t="str">
        <f>IFERROR(__xludf.DUMMYFUNCTION("IF(ISBLANK(F118),""NA"", VLOOKUP(F118,IMPORTRANGE(""https://docs.google.com/spreadsheets/d/1EdCvim__xyxvoo9WoburDTzYylznTCOJBHcnu7eurMw/edit?gid=15948134#gid=15948134"", ""Purpose!A1:B1000""),2,FALSE()))"),"to enable the understanding of the data (i.e., system architecture and dependencies)")</f>
        <v>to enable the understanding of the data (i.e., system architecture and dependencies)</v>
      </c>
      <c r="K118" s="8" t="str">
        <f>IFERROR(__xludf.DUMMYFUNCTION("IF(ISBLANK(E118),""NA"", VLOOKUP(E118,IMPORTRANGE(""https://docs.google.com/spreadsheets/d/1EdCvim__xyxvoo9WoburDTzYylznTCOJBHcnu7eurMw/edit?gid=15948134#gid=15948134"", ""Technique!A1:B2000""),2,FALSE()))"),"use embeddings, use a low-dimensional latent space")</f>
        <v>use embeddings, use a low-dimensional latent space</v>
      </c>
      <c r="L118" s="8" t="str">
        <f>IFERROR(__xludf.DUMMYFUNCTION("IF(ISBLANK(D118),""NA"", VLOOKUP(D118,IMPORTRANGE(""https://docs.google.com/spreadsheets/d/1EdCvim__xyxvoo9WoburDTzYylznTCOJBHcnu7eurMw/edit?gid=15948134#gid=15948134"", ""Input!A1:B2000""),2,FALSE()))"),"textual data (system specification of components)")</f>
        <v>textual data (system specification of components)</v>
      </c>
    </row>
    <row r="119" hidden="1">
      <c r="A119" s="1" t="s">
        <v>378</v>
      </c>
      <c r="B119" s="1" t="s">
        <v>202</v>
      </c>
      <c r="C119" s="1" t="s">
        <v>389</v>
      </c>
      <c r="D119" s="1" t="s">
        <v>383</v>
      </c>
      <c r="E119" s="16" t="s">
        <v>390</v>
      </c>
      <c r="F119" s="14" t="s">
        <v>391</v>
      </c>
      <c r="G119" s="1" t="s">
        <v>54</v>
      </c>
      <c r="H119" s="15" t="s">
        <v>382</v>
      </c>
      <c r="J119" s="8" t="str">
        <f>IFERROR(__xludf.DUMMYFUNCTION("IF(ISBLANK(F119),""NA"", VLOOKUP(F119,IMPORTRANGE(""https://docs.google.com/spreadsheets/d/1EdCvim__xyxvoo9WoburDTzYylznTCOJBHcnu7eurMw/edit?gid=15948134#gid=15948134"", ""Purpose!A1:B1000""),2,FALSE()))"),"to extract features, semantic features")</f>
        <v>to extract features, semantic features</v>
      </c>
      <c r="K119" s="8" t="str">
        <f>IFERROR(__xludf.DUMMYFUNCTION("IF(ISBLANK(E119),""NA"", VLOOKUP(E119,IMPORTRANGE(""https://docs.google.com/spreadsheets/d/1EdCvim__xyxvoo9WoburDTzYylznTCOJBHcnu7eurMw/edit?gid=15948134#gid=15948134"", ""Technique!A1:B2000""),2,FALSE()))"),"use embeddings at word level + deep feature mapping + semantic comprehension")</f>
        <v>use embeddings at word level + deep feature mapping + semantic comprehension</v>
      </c>
      <c r="L119" s="8" t="str">
        <f>IFERROR(__xludf.DUMMYFUNCTION("IF(ISBLANK(D119),""NA"", VLOOKUP(D119,IMPORTRANGE(""https://docs.google.com/spreadsheets/d/1EdCvim__xyxvoo9WoburDTzYylznTCOJBHcnu7eurMw/edit?gid=15948134#gid=15948134"", ""Input!A1:B2000""),2,FALSE()))"),"textual data (incident)")</f>
        <v>textual data (incident)</v>
      </c>
    </row>
    <row r="120" hidden="1">
      <c r="A120" s="1" t="s">
        <v>378</v>
      </c>
      <c r="B120" s="1">
        <v>2.0</v>
      </c>
      <c r="C120" s="1" t="s">
        <v>392</v>
      </c>
      <c r="D120" s="1" t="s">
        <v>380</v>
      </c>
      <c r="E120" s="14" t="s">
        <v>393</v>
      </c>
      <c r="F120" s="14" t="s">
        <v>394</v>
      </c>
      <c r="G120" s="1" t="s">
        <v>14</v>
      </c>
      <c r="H120" s="15" t="s">
        <v>382</v>
      </c>
      <c r="J120" s="8" t="str">
        <f>IFERROR(__xludf.DUMMYFUNCTION("IF(ISBLANK(F120),""NA"", VLOOKUP(F120,IMPORTRANGE(""https://docs.google.com/spreadsheets/d/1EdCvim__xyxvoo9WoburDTzYylznTCOJBHcnu7eurMw/edit?gid=15948134#gid=15948134"", ""Purpose!A1:B1000""),2,FALSE()))"),"to embed textual data dealing with infrequent text")</f>
        <v>to embed textual data dealing with infrequent text</v>
      </c>
      <c r="K120" s="8" t="str">
        <f>IFERROR(__xludf.DUMMYFUNCTION("IF(ISBLANK(E120),""NA"", VLOOKUP(E120,IMPORTRANGE(""https://docs.google.com/spreadsheets/d/1EdCvim__xyxvoo9WoburDTzYylznTCOJBHcnu7eurMw/edit?gid=15948134#gid=15948134"", ""Technique!A1:B2000""),2,FALSE()))"),"use embeddings, Fastext")</f>
        <v>use embeddings, Fastext</v>
      </c>
      <c r="L120" s="8" t="str">
        <f>IFERROR(__xludf.DUMMYFUNCTION("IF(ISBLANK(D120),""NA"", VLOOKUP(D120,IMPORTRANGE(""https://docs.google.com/spreadsheets/d/1EdCvim__xyxvoo9WoburDTzYylznTCOJBHcnu7eurMw/edit?gid=15948134#gid=15948134"", ""Input!A1:B2000""),2,FALSE()))"),"textual data (incident)")</f>
        <v>textual data (incident)</v>
      </c>
    </row>
    <row r="121" hidden="1">
      <c r="A121" s="1" t="s">
        <v>378</v>
      </c>
      <c r="B121" s="1" t="s">
        <v>395</v>
      </c>
      <c r="C121" s="1" t="s">
        <v>392</v>
      </c>
      <c r="D121" s="1" t="s">
        <v>33</v>
      </c>
      <c r="E121" s="16" t="s">
        <v>396</v>
      </c>
      <c r="F121" s="14" t="s">
        <v>397</v>
      </c>
      <c r="G121" s="1" t="s">
        <v>54</v>
      </c>
      <c r="H121" s="15" t="s">
        <v>382</v>
      </c>
      <c r="J121" s="8" t="str">
        <f>IFERROR(__xludf.DUMMYFUNCTION("IF(ISBLANK(F121),""NA"", VLOOKUP(F121,IMPORTRANGE(""https://docs.google.com/spreadsheets/d/1EdCvim__xyxvoo9WoburDTzYylznTCOJBHcnu7eurMw/edit?gid=15948134#gid=15948134"", ""Purpose!A1:B1000""),2,FALSE()))"),"to train a model for entity matching tasks")</f>
        <v>to train a model for entity matching tasks</v>
      </c>
      <c r="K121" s="8" t="str">
        <f>IFERROR(__xludf.DUMMYFUNCTION("IF(ISBLANK(E121),""NA"", VLOOKUP(E121,IMPORTRANGE(""https://docs.google.com/spreadsheets/d/1EdCvim__xyxvoo9WoburDTzYylznTCOJBHcnu7eurMw/edit?gid=15948134#gid=15948134"", ""Technique!A1:B2000""),2,FALSE()))"),"use Siamese Neural Networks")</f>
        <v>use Siamese Neural Networks</v>
      </c>
      <c r="L121" s="8" t="str">
        <f>IFERROR(__xludf.DUMMYFUNCTION("IF(ISBLANK(D121),""NA"", VLOOKUP(D121,IMPORTRANGE(""https://docs.google.com/spreadsheets/d/1EdCvim__xyxvoo9WoburDTzYylznTCOJBHcnu7eurMw/edit?gid=15948134#gid=15948134"", ""Input!A1:B2000""),2,FALSE()))"),"")</f>
        <v/>
      </c>
    </row>
    <row r="122" hidden="1">
      <c r="A122" s="1" t="s">
        <v>378</v>
      </c>
      <c r="B122" s="1">
        <v>4.0</v>
      </c>
      <c r="C122" s="1" t="s">
        <v>398</v>
      </c>
      <c r="D122" s="1" t="s">
        <v>399</v>
      </c>
      <c r="E122" s="14" t="s">
        <v>400</v>
      </c>
      <c r="F122" s="14" t="s">
        <v>401</v>
      </c>
      <c r="G122" s="1" t="s">
        <v>14</v>
      </c>
      <c r="H122" s="15" t="s">
        <v>382</v>
      </c>
      <c r="J122" s="8" t="str">
        <f>IFERROR(__xludf.DUMMYFUNCTION("IF(ISBLANK(F122),""NA"", VLOOKUP(F122,IMPORTRANGE(""https://docs.google.com/spreadsheets/d/1EdCvim__xyxvoo9WoburDTzYylznTCOJBHcnu7eurMw/edit?gid=15948134#gid=15948134"", ""Purpose!A1:B1000""),2,FALSE()))"),"to embed code dependencies")</f>
        <v>to embed code dependencies</v>
      </c>
      <c r="K122" s="8" t="str">
        <f>IFERROR(__xludf.DUMMYFUNCTION("IF(ISBLANK(E122),""NA"", VLOOKUP(E122,IMPORTRANGE(""https://docs.google.com/spreadsheets/d/1EdCvim__xyxvoo9WoburDTzYylznTCOJBHcnu7eurMw/edit?gid=15948134#gid=15948134"", ""Technique!A1:B2000""),2,FALSE()))"),"use embeddings, Node2vec")</f>
        <v>use embeddings, Node2vec</v>
      </c>
      <c r="L122" s="8" t="str">
        <f>IFERROR(__xludf.DUMMYFUNCTION("IF(ISBLANK(D122),""NA"", VLOOKUP(D122,IMPORTRANGE(""https://docs.google.com/spreadsheets/d/1EdCvim__xyxvoo9WoburDTzYylznTCOJBHcnu7eurMw/edit?gid=15948134#gid=15948134"", ""Input!A1:B2000""),2,FALSE()))"),"code data (component dependency)")</f>
        <v>code data (component dependency)</v>
      </c>
    </row>
    <row r="123" hidden="1">
      <c r="A123" s="1" t="s">
        <v>378</v>
      </c>
      <c r="B123" s="1" t="s">
        <v>402</v>
      </c>
      <c r="C123" s="1" t="s">
        <v>403</v>
      </c>
      <c r="D123" s="1" t="s">
        <v>33</v>
      </c>
      <c r="E123" s="14" t="s">
        <v>404</v>
      </c>
      <c r="F123" s="14" t="s">
        <v>98</v>
      </c>
      <c r="G123" s="1" t="s">
        <v>44</v>
      </c>
      <c r="H123" s="15" t="s">
        <v>382</v>
      </c>
      <c r="J123" s="8" t="str">
        <f>IFERROR(__xludf.DUMMYFUNCTION("IF(ISBLANK(F123),""NA"", VLOOKUP(F123,IMPORTRANGE(""https://docs.google.com/spreadsheets/d/1EdCvim__xyxvoo9WoburDTzYylznTCOJBHcnu7eurMw/edit?gid=15948134#gid=15948134"", ""Purpose!A1:B1000""),2,FALSE()))"),"to collect data")</f>
        <v>to collect data</v>
      </c>
      <c r="K123" s="8" t="str">
        <f>IFERROR(__xludf.DUMMYFUNCTION("IF(ISBLANK(E123),""NA"", VLOOKUP(E123,IMPORTRANGE(""https://docs.google.com/spreadsheets/d/1EdCvim__xyxvoo9WoburDTzYylznTCOJBHcnu7eurMw/edit?gid=15948134#gid=15948134"", ""Technique!A1:B2000""),2,FALSE()))"),"use real-world incident management systems")</f>
        <v>use real-world incident management systems</v>
      </c>
      <c r="L123" s="8" t="str">
        <f>IFERROR(__xludf.DUMMYFUNCTION("IF(ISBLANK(D123),""NA"", VLOOKUP(D123,IMPORTRANGE(""https://docs.google.com/spreadsheets/d/1EdCvim__xyxvoo9WoburDTzYylznTCOJBHcnu7eurMw/edit?gid=15948134#gid=15948134"", ""Input!A1:B2000""),2,FALSE()))"),"")</f>
        <v/>
      </c>
    </row>
    <row r="124" hidden="1">
      <c r="A124" s="1" t="s">
        <v>378</v>
      </c>
      <c r="B124" s="1" t="s">
        <v>59</v>
      </c>
      <c r="C124" s="1" t="s">
        <v>403</v>
      </c>
      <c r="D124" s="1" t="s">
        <v>405</v>
      </c>
      <c r="E124" s="16" t="s">
        <v>406</v>
      </c>
      <c r="F124" s="1" t="s">
        <v>33</v>
      </c>
      <c r="G124" s="1" t="s">
        <v>20</v>
      </c>
      <c r="H124" s="15" t="s">
        <v>382</v>
      </c>
      <c r="J124" s="8" t="str">
        <f>IFERROR(__xludf.DUMMYFUNCTION("IF(ISBLANK(F124),""NA"", VLOOKUP(F124,IMPORTRANGE(""https://docs.google.com/spreadsheets/d/1EdCvim__xyxvoo9WoburDTzYylznTCOJBHcnu7eurMw/edit?gid=15948134#gid=15948134"", ""Purpose!A1:B1000""),2,FALSE()))"),"")</f>
        <v/>
      </c>
      <c r="K124" s="8" t="str">
        <f>IFERROR(__xludf.DUMMYFUNCTION("IF(ISBLANK(E124),""NA"", VLOOKUP(E124,IMPORTRANGE(""https://docs.google.com/spreadsheets/d/1EdCvim__xyxvoo9WoburDTzYylznTCOJBHcnu7eurMw/edit?gid=15948134#gid=15948134"", ""Technique!A1:B2000""),2,FALSE()))"),"split data into train and test, considering temporal constraints")</f>
        <v>split data into train and test, considering temporal constraints</v>
      </c>
      <c r="L124" s="8" t="str">
        <f>IFERROR(__xludf.DUMMYFUNCTION("IF(ISBLANK(D124),""NA"", VLOOKUP(D124,IMPORTRANGE(""https://docs.google.com/spreadsheets/d/1EdCvim__xyxvoo9WoburDTzYylznTCOJBHcnu7eurMw/edit?gid=15948134#gid=15948134"", ""Input!A1:B2000""),2,FALSE()))"),"data")</f>
        <v>data</v>
      </c>
    </row>
    <row r="125" hidden="1">
      <c r="A125" s="1" t="s">
        <v>378</v>
      </c>
      <c r="B125" s="1">
        <v>19.0</v>
      </c>
      <c r="C125" s="1" t="s">
        <v>407</v>
      </c>
      <c r="D125" s="1" t="s">
        <v>408</v>
      </c>
      <c r="E125" s="14" t="s">
        <v>409</v>
      </c>
      <c r="F125" s="14" t="s">
        <v>410</v>
      </c>
      <c r="G125" s="1" t="s">
        <v>39</v>
      </c>
      <c r="H125" s="15" t="s">
        <v>382</v>
      </c>
      <c r="J125" s="8" t="str">
        <f>IFERROR(__xludf.DUMMYFUNCTION("IF(ISBLANK(F125),""NA"", VLOOKUP(F125,IMPORTRANGE(""https://docs.google.com/spreadsheets/d/1EdCvim__xyxvoo9WoburDTzYylznTCOJBHcnu7eurMw/edit?gid=15948134#gid=15948134"", ""Purpose!A1:B1000""),2,FALSE()))"),"to evaluate model(s) functionally (e.g., accuracy) against others")</f>
        <v>to evaluate model(s) functionally (e.g., accuracy) against others</v>
      </c>
      <c r="K125" s="8" t="str">
        <f>IFERROR(__xludf.DUMMYFUNCTION("IF(ISBLANK(E125),""NA"", VLOOKUP(E125,IMPORTRANGE(""https://docs.google.com/spreadsheets/d/1EdCvim__xyxvoo9WoburDTzYylznTCOJBHcnu7eurMw/edit?gid=15948134#gid=15948134"", ""Technique!A1:B2000""),2,FALSE()))"),"compare with baseline model(s), state-of-the-art baselines deep learning (DWEN), shallow learning (DBTM), non ml (simple)")</f>
        <v>compare with baseline model(s), state-of-the-art baselines deep learning (DWEN), shallow learning (DBTM), non ml (simple)</v>
      </c>
      <c r="L125" s="8" t="str">
        <f>IFERROR(__xludf.DUMMYFUNCTION("IF(ISBLANK(D125),""NA"", VLOOKUP(D125,IMPORTRANGE(""https://docs.google.com/spreadsheets/d/1EdCvim__xyxvoo9WoburDTzYylznTCOJBHcnu7eurMw/edit?gid=15948134#gid=15948134"", ""Input!A1:B2000""),2,FALSE()))"),"computed metrics of multiple models")</f>
        <v>computed metrics of multiple models</v>
      </c>
    </row>
    <row r="126" hidden="1">
      <c r="A126" s="1" t="s">
        <v>378</v>
      </c>
      <c r="B126" s="1" t="s">
        <v>411</v>
      </c>
      <c r="C126" s="1" t="s">
        <v>407</v>
      </c>
      <c r="D126" s="1" t="s">
        <v>412</v>
      </c>
      <c r="E126" s="14" t="s">
        <v>413</v>
      </c>
      <c r="F126" s="14" t="s">
        <v>414</v>
      </c>
      <c r="G126" s="1" t="s">
        <v>39</v>
      </c>
      <c r="H126" s="15" t="s">
        <v>382</v>
      </c>
      <c r="J126" s="8" t="str">
        <f>IFERROR(__xludf.DUMMYFUNCTION("IF(ISBLANK(F126),""NA"", VLOOKUP(F126,IMPORTRANGE(""https://docs.google.com/spreadsheets/d/1EdCvim__xyxvoo9WoburDTzYylznTCOJBHcnu7eurMw/edit?gid=15948134#gid=15948134"", ""Purpose!A1:B1000""),2,FALSE()))"),"to evaluate model(s) functionally (e.g., accuracy)")</f>
        <v>to evaluate model(s) functionally (e.g., accuracy)</v>
      </c>
      <c r="K126" s="8" t="str">
        <f>IFERROR(__xludf.DUMMYFUNCTION("IF(ISBLANK(E126),""NA"", VLOOKUP(E126,IMPORTRANGE(""https://docs.google.com/spreadsheets/d/1EdCvim__xyxvoo9WoburDTzYylznTCOJBHcnu7eurMw/edit?gid=15948134#gid=15948134"", ""Technique!A1:B2000""),2,FALSE()))"),"compute classical metrics (i.e., Precision, Recall. F-meassure)")</f>
        <v>compute classical metrics (i.e., Precision, Recall. F-meassure)</v>
      </c>
      <c r="L126" s="8" t="str">
        <f>IFERROR(__xludf.DUMMYFUNCTION("IF(ISBLANK(D126),""NA"", VLOOKUP(D126,IMPORTRANGE(""https://docs.google.com/spreadsheets/d/1EdCvim__xyxvoo9WoburDTzYylznTCOJBHcnu7eurMw/edit?gid=15948134#gid=15948134"", ""Input!A1:B2000""),2,FALSE()))"),"data + model(s)")</f>
        <v>data + model(s)</v>
      </c>
    </row>
    <row r="127" hidden="1">
      <c r="A127" s="1" t="s">
        <v>378</v>
      </c>
      <c r="B127" s="1">
        <v>21.0</v>
      </c>
      <c r="C127" s="1" t="s">
        <v>407</v>
      </c>
      <c r="D127" s="1" t="s">
        <v>415</v>
      </c>
      <c r="E127" s="14" t="s">
        <v>416</v>
      </c>
      <c r="F127" s="14" t="s">
        <v>331</v>
      </c>
      <c r="G127" s="1" t="s">
        <v>39</v>
      </c>
      <c r="H127" s="15" t="s">
        <v>382</v>
      </c>
      <c r="J127" s="8" t="str">
        <f>IFERROR(__xludf.DUMMYFUNCTION("IF(ISBLANK(F127),""NA"", VLOOKUP(F127,IMPORTRANGE(""https://docs.google.com/spreadsheets/d/1EdCvim__xyxvoo9WoburDTzYylznTCOJBHcnu7eurMw/edit?gid=15948134#gid=15948134"", ""Purpose!A1:B1000""),2,FALSE()))"),"to evaluate model(s)")</f>
        <v>to evaluate model(s)</v>
      </c>
      <c r="K127" s="8" t="str">
        <f>IFERROR(__xludf.DUMMYFUNCTION("IF(ISBLANK(E127),""NA"", VLOOKUP(E127,IMPORTRANGE(""https://docs.google.com/spreadsheets/d/1EdCvim__xyxvoo9WoburDTzYylznTCOJBHcnu7eurMw/edit?gid=15948134#gid=15948134"", ""Technique!A1:B2000""),2,FALSE()))"),"compare directly different approaches (no statistical tests)")</f>
        <v>compare directly different approaches (no statistical tests)</v>
      </c>
      <c r="L127" s="8" t="str">
        <f>IFERROR(__xludf.DUMMYFUNCTION("IF(ISBLANK(D127),""NA"", VLOOKUP(D127,IMPORTRANGE(""https://docs.google.com/spreadsheets/d/1EdCvim__xyxvoo9WoburDTzYylznTCOJBHcnu7eurMw/edit?gid=15948134#gid=15948134"", ""Input!A1:B2000""),2,FALSE()))"),"computed metrics of multiple models")</f>
        <v>computed metrics of multiple models</v>
      </c>
    </row>
    <row r="128" hidden="1">
      <c r="A128" s="1" t="s">
        <v>378</v>
      </c>
      <c r="B128" s="1">
        <v>22.0</v>
      </c>
      <c r="C128" s="1" t="s">
        <v>417</v>
      </c>
      <c r="D128" s="1" t="s">
        <v>418</v>
      </c>
      <c r="E128" s="14" t="s">
        <v>419</v>
      </c>
      <c r="F128" s="14" t="s">
        <v>420</v>
      </c>
      <c r="G128" s="1" t="s">
        <v>39</v>
      </c>
      <c r="H128" s="15" t="s">
        <v>382</v>
      </c>
      <c r="J128" s="8" t="str">
        <f>IFERROR(__xludf.DUMMYFUNCTION("IF(ISBLANK(F128),""NA"", VLOOKUP(F128,IMPORTRANGE(""https://docs.google.com/spreadsheets/d/1EdCvim__xyxvoo9WoburDTzYylznTCOJBHcnu7eurMw/edit?gid=15948134#gid=15948134"", ""Purpose!A1:B1000""),2,FALSE()))"),"to evaluate model(s) functionally (e.g., accuracy)")</f>
        <v>to evaluate model(s) functionally (e.g., accuracy)</v>
      </c>
      <c r="K128" s="8" t="str">
        <f>IFERROR(__xludf.DUMMYFUNCTION("IF(ISBLANK(E128),""NA"", VLOOKUP(E128,IMPORTRANGE(""https://docs.google.com/spreadsheets/d/1EdCvim__xyxvoo9WoburDTzYylznTCOJBHcnu7eurMw/edit?gid=15948134#gid=15948134"", ""Technique!A1:B2000""),2,FALSE()))"),"check if vectors of components of same service can be grouped together")</f>
        <v>check if vectors of components of same service can be grouped together</v>
      </c>
      <c r="L128" s="8" t="str">
        <f>IFERROR(__xludf.DUMMYFUNCTION("IF(ISBLANK(D128),""NA"", VLOOKUP(D128,IMPORTRANGE(""https://docs.google.com/spreadsheets/d/1EdCvim__xyxvoo9WoburDTzYylznTCOJBHcnu7eurMw/edit?gid=15948134#gid=15948134"", ""Input!A1:B2000""),2,FALSE()))"),"embeddings (services of the system)")</f>
        <v>embeddings (services of the system)</v>
      </c>
    </row>
    <row r="129" hidden="1">
      <c r="A129" s="1" t="s">
        <v>378</v>
      </c>
      <c r="B129" s="1">
        <v>10.0</v>
      </c>
      <c r="C129" s="1" t="s">
        <v>421</v>
      </c>
      <c r="D129" s="1" t="s">
        <v>422</v>
      </c>
      <c r="E129" s="14" t="s">
        <v>423</v>
      </c>
      <c r="F129" s="14" t="s">
        <v>238</v>
      </c>
      <c r="G129" s="1" t="s">
        <v>39</v>
      </c>
      <c r="H129" s="15" t="s">
        <v>382</v>
      </c>
      <c r="J129" s="8" t="str">
        <f>IFERROR(__xludf.DUMMYFUNCTION("IF(ISBLANK(F129),""NA"", VLOOKUP(F129,IMPORTRANGE(""https://docs.google.com/spreadsheets/d/1EdCvim__xyxvoo9WoburDTzYylznTCOJBHcnu7eurMw/edit?gid=15948134#gid=15948134"", ""Purpose!A1:B1000""),2,FALSE()))"),"to understand the model(s) sensitivity of different hyperparameters")</f>
        <v>to understand the model(s) sensitivity of different hyperparameters</v>
      </c>
      <c r="K129" s="8" t="str">
        <f>IFERROR(__xludf.DUMMYFUNCTION("IF(ISBLANK(E129),""NA"", VLOOKUP(E129,IMPORTRANGE(""https://docs.google.com/spreadsheets/d/1EdCvim__xyxvoo9WoburDTzYylznTCOJBHcnu7eurMw/edit?gid=15948134#gid=15948134"", ""Technique!A1:B2000""),2,FALSE()))"),"perform hyperparameter sensitivity analysis")</f>
        <v>perform hyperparameter sensitivity analysis</v>
      </c>
      <c r="L129" s="8" t="str">
        <f>IFERROR(__xludf.DUMMYFUNCTION("IF(ISBLANK(D129),""NA"", VLOOKUP(D129,IMPORTRANGE(""https://docs.google.com/spreadsheets/d/1EdCvim__xyxvoo9WoburDTzYylznTCOJBHcnu7eurMw/edit?gid=15948134#gid=15948134"", ""Input!A1:B2000""),2,FALSE()))"),"data + model(s)")</f>
        <v>data + model(s)</v>
      </c>
    </row>
    <row r="130" hidden="1">
      <c r="A130" s="1" t="s">
        <v>424</v>
      </c>
      <c r="B130" s="1">
        <v>7.0</v>
      </c>
      <c r="C130" s="1" t="s">
        <v>425</v>
      </c>
      <c r="D130" s="1" t="s">
        <v>426</v>
      </c>
      <c r="E130" s="16" t="s">
        <v>52</v>
      </c>
      <c r="F130" s="14" t="s">
        <v>427</v>
      </c>
      <c r="G130" s="1" t="s">
        <v>54</v>
      </c>
      <c r="H130" s="15" t="s">
        <v>428</v>
      </c>
      <c r="J130" s="8" t="str">
        <f>IFERROR(__xludf.DUMMYFUNCTION("IF(ISBLANK(F130),""NA"", VLOOKUP(F130,IMPORTRANGE(""https://docs.google.com/spreadsheets/d/1EdCvim__xyxvoo9WoburDTzYylznTCOJBHcnu7eurMw/edit?gid=15948134#gid=15948134"", ""Purpose!A1:B1000""),2,FALSE()))"),"to find the best hyperparameters in general")</f>
        <v>to find the best hyperparameters in general</v>
      </c>
      <c r="K130" s="8" t="str">
        <f>IFERROR(__xludf.DUMMYFUNCTION("IF(ISBLANK(E130),""NA"", VLOOKUP(E130,IMPORTRANGE(""https://docs.google.com/spreadsheets/d/1EdCvim__xyxvoo9WoburDTzYylznTCOJBHcnu7eurMw/edit?gid=15948134#gid=15948134"", ""Technique!A1:B2000""),2,FALSE()))"),"grid search")</f>
        <v>grid search</v>
      </c>
      <c r="L130" s="8" t="str">
        <f>IFERROR(__xludf.DUMMYFUNCTION("IF(ISBLANK(D130),""NA"", VLOOKUP(D130,IMPORTRANGE(""https://docs.google.com/spreadsheets/d/1EdCvim__xyxvoo9WoburDTzYylznTCOJBHcnu7eurMw/edit?gid=15948134#gid=15948134"", ""Input!A1:B2000""),2,FALSE()))"),"code data (test set) + deep learning model(s)")</f>
        <v>code data (test set) + deep learning model(s)</v>
      </c>
    </row>
    <row r="131" hidden="1">
      <c r="A131" s="1" t="s">
        <v>424</v>
      </c>
      <c r="B131" s="1">
        <v>1.8</v>
      </c>
      <c r="C131" s="1" t="s">
        <v>425</v>
      </c>
      <c r="D131" s="1" t="s">
        <v>429</v>
      </c>
      <c r="E131" s="16" t="s">
        <v>430</v>
      </c>
      <c r="F131" s="14" t="s">
        <v>431</v>
      </c>
      <c r="G131" s="1" t="s">
        <v>20</v>
      </c>
      <c r="H131" s="15" t="s">
        <v>428</v>
      </c>
      <c r="J131" s="8" t="str">
        <f>IFERROR(__xludf.DUMMYFUNCTION("IF(ISBLANK(F131),""NA"", VLOOKUP(F131,IMPORTRANGE(""https://docs.google.com/spreadsheets/d/1EdCvim__xyxvoo9WoburDTzYylznTCOJBHcnu7eurMw/edit?gid=15948134#gid=15948134"", ""Purpose!A1:B1000""),2,FALSE()))"),"to evaluate model(s) functionally (e.g., accuracy)")</f>
        <v>to evaluate model(s) functionally (e.g., accuracy)</v>
      </c>
      <c r="K131" s="8" t="str">
        <f>IFERROR(__xludf.DUMMYFUNCTION("IF(ISBLANK(E131),""NA"", VLOOKUP(E131,IMPORTRANGE(""https://docs.google.com/spreadsheets/d/1EdCvim__xyxvoo9WoburDTzYylznTCOJBHcnu7eurMw/edit?gid=15948134#gid=15948134"", ""Technique!A1:B2000""),2,FALSE()))"),"create their own data, curated data")</f>
        <v>create their own data, curated data</v>
      </c>
      <c r="L131" s="8" t="str">
        <f>IFERROR(__xludf.DUMMYFUNCTION("IF(ISBLANK(D131),""NA"", VLOOKUP(D131,IMPORTRANGE(""https://docs.google.com/spreadsheets/d/1EdCvim__xyxvoo9WoburDTzYylznTCOJBHcnu7eurMw/edit?gid=15948134#gid=15948134"", ""Input!A1:B2000""),2,FALSE()))"),"data")</f>
        <v>data</v>
      </c>
    </row>
    <row r="132" hidden="1">
      <c r="A132" s="1" t="s">
        <v>424</v>
      </c>
      <c r="B132" s="1" t="s">
        <v>266</v>
      </c>
      <c r="C132" s="1" t="s">
        <v>432</v>
      </c>
      <c r="E132" s="14" t="s">
        <v>433</v>
      </c>
      <c r="F132" s="14" t="s">
        <v>434</v>
      </c>
      <c r="G132" s="1" t="s">
        <v>39</v>
      </c>
      <c r="H132" s="15" t="s">
        <v>428</v>
      </c>
      <c r="J132" s="8" t="str">
        <f>IFERROR(__xludf.DUMMYFUNCTION("IF(ISBLANK(F132),""NA"", VLOOKUP(F132,IMPORTRANGE(""https://docs.google.com/spreadsheets/d/1EdCvim__xyxvoo9WoburDTzYylznTCOJBHcnu7eurMw/edit?gid=15948134#gid=15948134"", ""Purpose!A1:B1000""),2,FALSE()))"),"to evaluate model(s) functionally (e.g., accuracy)")</f>
        <v>to evaluate model(s) functionally (e.g., accuracy)</v>
      </c>
      <c r="K132" s="8" t="str">
        <f>IFERROR(__xludf.DUMMYFUNCTION("IF(ISBLANK(E132),""NA"", VLOOKUP(E132,IMPORTRANGE(""https://docs.google.com/spreadsheets/d/1EdCvim__xyxvoo9WoburDTzYylznTCOJBHcnu7eurMw/edit?gid=15948134#gid=15948134"", ""Technique!A1:B2000""),2,FALSE()))"),"compute classical metrics (i.e., AUROC, Kmeans with F-meassure)")</f>
        <v>compute classical metrics (i.e., AUROC, Kmeans with F-meassure)</v>
      </c>
      <c r="L132" s="8" t="str">
        <f>IFERROR(__xludf.DUMMYFUNCTION("IF(ISBLANK(D132),""NA"", VLOOKUP(D132,IMPORTRANGE(""https://docs.google.com/spreadsheets/d/1EdCvim__xyxvoo9WoburDTzYylznTCOJBHcnu7eurMw/edit?gid=15948134#gid=15948134"", ""Input!A1:B2000""),2,FALSE()))"),"NA")</f>
        <v>NA</v>
      </c>
    </row>
    <row r="133" hidden="1">
      <c r="A133" s="1" t="s">
        <v>424</v>
      </c>
      <c r="B133" s="1" t="s">
        <v>332</v>
      </c>
      <c r="C133" s="1" t="s">
        <v>432</v>
      </c>
      <c r="D133" s="1" t="s">
        <v>435</v>
      </c>
      <c r="E133" s="16" t="s">
        <v>436</v>
      </c>
      <c r="F133" s="14" t="s">
        <v>437</v>
      </c>
      <c r="G133" s="1" t="s">
        <v>54</v>
      </c>
      <c r="H133" s="15" t="s">
        <v>428</v>
      </c>
      <c r="J133" s="8" t="str">
        <f>IFERROR(__xludf.DUMMYFUNCTION("IF(ISBLANK(F133),""NA"", VLOOKUP(F133,IMPORTRANGE(""https://docs.google.com/spreadsheets/d/1EdCvim__xyxvoo9WoburDTzYylznTCOJBHcnu7eurMw/edit?gid=15948134#gid=15948134"", ""Purpose!A1:B1000""),2,FALSE()))"),"to enable the comparizion of the result with the gold standard ")</f>
        <v>to enable the comparizion of the result with the gold standard </v>
      </c>
      <c r="K133" s="8" t="str">
        <f>IFERROR(__xludf.DUMMYFUNCTION("IF(ISBLANK(E133),""NA"", VLOOKUP(E133,IMPORTRANGE(""https://docs.google.com/spreadsheets/d/1EdCvim__xyxvoo9WoburDTzYylznTCOJBHcnu7eurMw/edit?gid=15948134#gid=15948134"", ""Technique!A1:B2000""),2,FALSE()))"),"clustering, k-means")</f>
        <v>clustering, k-means</v>
      </c>
      <c r="L133" s="8" t="str">
        <f>IFERROR(__xludf.DUMMYFUNCTION("IF(ISBLANK(D133),""NA"", VLOOKUP(D133,IMPORTRANGE(""https://docs.google.com/spreadsheets/d/1EdCvim__xyxvoo9WoburDTzYylznTCOJBHcnu7eurMw/edit?gid=15948134#gid=15948134"", ""Input!A1:B2000""),2,FALSE()))"),"model(s)' output, embedded code")</f>
        <v>model(s)' output, embedded code</v>
      </c>
    </row>
    <row r="134" hidden="1">
      <c r="A134" s="1" t="s">
        <v>424</v>
      </c>
      <c r="B134" s="1" t="s">
        <v>438</v>
      </c>
      <c r="C134" s="1" t="s">
        <v>432</v>
      </c>
      <c r="D134" s="1" t="s">
        <v>439</v>
      </c>
      <c r="E134" s="14" t="s">
        <v>440</v>
      </c>
      <c r="F134" s="14" t="s">
        <v>434</v>
      </c>
      <c r="G134" s="1" t="s">
        <v>39</v>
      </c>
      <c r="H134" s="15" t="s">
        <v>428</v>
      </c>
      <c r="J134" s="8" t="str">
        <f>IFERROR(__xludf.DUMMYFUNCTION("IF(ISBLANK(F134),""NA"", VLOOKUP(F134,IMPORTRANGE(""https://docs.google.com/spreadsheets/d/1EdCvim__xyxvoo9WoburDTzYylznTCOJBHcnu7eurMw/edit?gid=15948134#gid=15948134"", ""Purpose!A1:B1000""),2,FALSE()))"),"to evaluate model(s) functionally (e.g., accuracy)")</f>
        <v>to evaluate model(s) functionally (e.g., accuracy)</v>
      </c>
      <c r="K134" s="8" t="str">
        <f>IFERROR(__xludf.DUMMYFUNCTION("IF(ISBLANK(E134),""NA"", VLOOKUP(E134,IMPORTRANGE(""https://docs.google.com/spreadsheets/d/1EdCvim__xyxvoo9WoburDTzYylznTCOJBHcnu7eurMw/edit?gid=15948134#gid=15948134"", ""Technique!A1:B2000""),2,FALSE()))"),"compute classical metrics (i.e., Precision, Recall. F-meassure)")</f>
        <v>compute classical metrics (i.e., Precision, Recall. F-meassure)</v>
      </c>
      <c r="L134" s="8" t="str">
        <f>IFERROR(__xludf.DUMMYFUNCTION("IF(ISBLANK(D134),""NA"", VLOOKUP(D134,IMPORTRANGE(""https://docs.google.com/spreadsheets/d/1EdCvim__xyxvoo9WoburDTzYylznTCOJBHcnu7eurMw/edit?gid=15948134#gid=15948134"", ""Input!A1:B2000""),2,FALSE()))"),"model(s)' output, clusters")</f>
        <v>model(s)' output, clusters</v>
      </c>
    </row>
    <row r="135" hidden="1">
      <c r="A135" s="1" t="s">
        <v>424</v>
      </c>
      <c r="B135" s="1">
        <v>5.0</v>
      </c>
      <c r="C135" s="1" t="s">
        <v>441</v>
      </c>
      <c r="D135" s="1" t="s">
        <v>442</v>
      </c>
      <c r="E135" s="16" t="s">
        <v>443</v>
      </c>
      <c r="F135" s="14" t="s">
        <v>444</v>
      </c>
      <c r="G135" s="1" t="s">
        <v>54</v>
      </c>
      <c r="H135" s="15" t="s">
        <v>428</v>
      </c>
      <c r="J135" s="8" t="str">
        <f>IFERROR(__xludf.DUMMYFUNCTION("IF(ISBLANK(F135),""NA"", VLOOKUP(F135,IMPORTRANGE(""https://docs.google.com/spreadsheets/d/1EdCvim__xyxvoo9WoburDTzYylznTCOJBHcnu7eurMw/edit?gid=15948134#gid=15948134"", ""Purpose!A1:B1000""),2,FALSE()))"),"to train a model for code embedding")</f>
        <v>to train a model for code embedding</v>
      </c>
      <c r="K135" s="8" t="str">
        <f>IFERROR(__xludf.DUMMYFUNCTION("IF(ISBLANK(E135),""NA"", VLOOKUP(E135,IMPORTRANGE(""https://docs.google.com/spreadsheets/d/1EdCvim__xyxvoo9WoburDTzYylznTCOJBHcnu7eurMw/edit?gid=15948134#gid=15948134"", ""Technique!A1:B2000""),2,FALSE()))"),"use neural network")</f>
        <v>use neural network</v>
      </c>
      <c r="L135" s="8" t="str">
        <f>IFERROR(__xludf.DUMMYFUNCTION("IF(ISBLANK(D135),""NA"", VLOOKUP(D135,IMPORTRANGE(""https://docs.google.com/spreadsheets/d/1EdCvim__xyxvoo9WoburDTzYylznTCOJBHcnu7eurMw/edit?gid=15948134#gid=15948134"", ""Input!A1:B2000""),2,FALSE()))"),"vector representation (code data, functions)")</f>
        <v>vector representation (code data, functions)</v>
      </c>
    </row>
    <row r="136" hidden="1">
      <c r="A136" s="1" t="s">
        <v>424</v>
      </c>
      <c r="B136" s="1">
        <v>6.0</v>
      </c>
      <c r="C136" s="1" t="s">
        <v>445</v>
      </c>
      <c r="E136" s="14" t="s">
        <v>446</v>
      </c>
      <c r="F136" s="14" t="s">
        <v>447</v>
      </c>
      <c r="G136" s="1" t="s">
        <v>44</v>
      </c>
      <c r="H136" s="15" t="s">
        <v>428</v>
      </c>
      <c r="J136" s="8" t="str">
        <f>IFERROR(__xludf.DUMMYFUNCTION("IF(ISBLANK(F136),""NA"", VLOOKUP(F136,IMPORTRANGE(""https://docs.google.com/spreadsheets/d/1EdCvim__xyxvoo9WoburDTzYylznTCOJBHcnu7eurMw/edit?gid=15948134#gid=15948134"", ""Purpose!A1:B1000""),2,FALSE()))"),"to collect data, data in a usable structure")</f>
        <v>to collect data, data in a usable structure</v>
      </c>
      <c r="K136" s="8" t="str">
        <f>IFERROR(__xludf.DUMMYFUNCTION("IF(ISBLANK(E136),""NA"", VLOOKUP(E136,IMPORTRANGE(""https://docs.google.com/spreadsheets/d/1EdCvim__xyxvoo9WoburDTzYylznTCOJBHcnu7eurMw/edit?gid=15948134#gid=15948134"", ""Technique!A1:B2000""),2,FALSE()))"),"use frequent itemset mining")</f>
        <v>use frequent itemset mining</v>
      </c>
      <c r="L136" s="8" t="str">
        <f>IFERROR(__xludf.DUMMYFUNCTION("IF(ISBLANK(D136),""NA"", VLOOKUP(D136,IMPORTRANGE(""https://docs.google.com/spreadsheets/d/1EdCvim__xyxvoo9WoburDTzYylznTCOJBHcnu7eurMw/edit?gid=15948134#gid=15948134"", ""Input!A1:B2000""),2,FALSE()))"),"NA")</f>
        <v>NA</v>
      </c>
    </row>
    <row r="137" hidden="1">
      <c r="A137" s="1" t="s">
        <v>448</v>
      </c>
      <c r="B137" s="1" t="s">
        <v>266</v>
      </c>
      <c r="C137" s="1" t="s">
        <v>449</v>
      </c>
      <c r="D137" s="1" t="s">
        <v>33</v>
      </c>
      <c r="E137" s="15" t="s">
        <v>450</v>
      </c>
      <c r="F137" s="14" t="s">
        <v>451</v>
      </c>
      <c r="G137" s="1" t="s">
        <v>54</v>
      </c>
      <c r="H137" s="15" t="s">
        <v>452</v>
      </c>
      <c r="J137" s="8" t="str">
        <f>IFERROR(__xludf.DUMMYFUNCTION("IF(ISBLANK(F137),""NA"", VLOOKUP(F137,IMPORTRANGE(""https://docs.google.com/spreadsheets/d/1EdCvim__xyxvoo9WoburDTzYylznTCOJBHcnu7eurMw/edit?gid=15948134#gid=15948134"", ""Purpose!A1:B1000""),2,FALSE()))"),"to train a model that model the naturalness of code statements")</f>
        <v>to train a model that model the naturalness of code statements</v>
      </c>
      <c r="K137" s="8" t="str">
        <f>IFERROR(__xludf.DUMMYFUNCTION("IF(ISBLANK(E137),""NA"", VLOOKUP(E137,IMPORTRANGE(""https://docs.google.com/spreadsheets/d/1EdCvim__xyxvoo9WoburDTzYylznTCOJBHcnu7eurMw/edit?gid=15948134#gid=15948134"", ""Technique!A1:B2000""),2,FALSE()))"),"use bidirectional GRU")</f>
        <v>use bidirectional GRU</v>
      </c>
      <c r="L137" s="8" t="str">
        <f>IFERROR(__xludf.DUMMYFUNCTION("IF(ISBLANK(D137),""NA"", VLOOKUP(D137,IMPORTRANGE(""https://docs.google.com/spreadsheets/d/1EdCvim__xyxvoo9WoburDTzYylznTCOJBHcnu7eurMw/edit?gid=15948134#gid=15948134"", ""Input!A1:B2000""),2,FALSE()))"),"")</f>
        <v/>
      </c>
    </row>
    <row r="138" hidden="1">
      <c r="A138" s="1" t="s">
        <v>448</v>
      </c>
      <c r="B138" s="1">
        <v>1.0</v>
      </c>
      <c r="C138" s="1" t="s">
        <v>453</v>
      </c>
      <c r="D138" s="1" t="s">
        <v>454</v>
      </c>
      <c r="E138" s="1" t="s">
        <v>455</v>
      </c>
      <c r="F138" s="14" t="s">
        <v>456</v>
      </c>
      <c r="G138" s="1" t="s">
        <v>14</v>
      </c>
      <c r="H138" s="15" t="s">
        <v>457</v>
      </c>
      <c r="J138" s="8" t="str">
        <f>IFERROR(__xludf.DUMMYFUNCTION("IF(ISBLANK(F138),""NA"", VLOOKUP(F138,IMPORTRANGE(""https://docs.google.com/spreadsheets/d/1EdCvim__xyxvoo9WoburDTzYylznTCOJBHcnu7eurMw/edit?gid=15948134#gid=15948134"", ""Purpose!A1:B1000""),2,FALSE()))"),"to transform the data into the required input")</f>
        <v>to transform the data into the required input</v>
      </c>
      <c r="K138" s="8" t="str">
        <f>IFERROR(__xludf.DUMMYFUNCTION("IF(ISBLANK(E138),""NA"", VLOOKUP(E138,IMPORTRANGE(""https://docs.google.com/spreadsheets/d/1EdCvim__xyxvoo9WoburDTzYylznTCOJBHcnu7eurMw/edit?gid=15948134#gid=15948134"", ""Technique!A1:B2000""),2,FALSE()))"),"build an AST")</f>
        <v>build an AST</v>
      </c>
      <c r="L138" s="8" t="str">
        <f>IFERROR(__xludf.DUMMYFUNCTION("IF(ISBLANK(D138),""NA"", VLOOKUP(D138,IMPORTRANGE(""https://docs.google.com/spreadsheets/d/1EdCvim__xyxvoo9WoburDTzYylznTCOJBHcnu7eurMw/edit?gid=15948134#gid=15948134"", ""Input!A1:B2000""),2,FALSE()))"),"code data (snippets)")</f>
        <v>code data (snippets)</v>
      </c>
    </row>
    <row r="139" hidden="1">
      <c r="A139" s="1" t="s">
        <v>448</v>
      </c>
      <c r="B139" s="1">
        <v>10.0</v>
      </c>
      <c r="C139" s="1" t="s">
        <v>458</v>
      </c>
      <c r="D139" s="1" t="s">
        <v>459</v>
      </c>
      <c r="E139" s="15" t="s">
        <v>460</v>
      </c>
      <c r="F139" s="1" t="s">
        <v>33</v>
      </c>
      <c r="G139" s="1" t="s">
        <v>20</v>
      </c>
      <c r="H139" s="15" t="s">
        <v>452</v>
      </c>
      <c r="J139" s="8" t="str">
        <f>IFERROR(__xludf.DUMMYFUNCTION("IF(ISBLANK(F139),""NA"", VLOOKUP(F139,IMPORTRANGE(""https://docs.google.com/spreadsheets/d/1EdCvim__xyxvoo9WoburDTzYylznTCOJBHcnu7eurMw/edit?gid=15948134#gid=15948134"", ""Purpose!A1:B1000""),2,FALSE()))"),"")</f>
        <v/>
      </c>
      <c r="K139" s="8" t="str">
        <f>IFERROR(__xludf.DUMMYFUNCTION("IF(ISBLANK(E139),""NA"", VLOOKUP(E139,IMPORTRANGE(""https://docs.google.com/spreadsheets/d/1EdCvim__xyxvoo9WoburDTzYylznTCOJBHcnu7eurMw/edit?gid=15948134#gid=15948134"", ""Technique!A1:B2000""),2,FALSE()))"),"split AST by sentence")</f>
        <v>split AST by sentence</v>
      </c>
      <c r="L139" s="8" t="str">
        <f>IFERROR(__xludf.DUMMYFUNCTION("IF(ISBLANK(D139),""NA"", VLOOKUP(D139,IMPORTRANGE(""https://docs.google.com/spreadsheets/d/1EdCvim__xyxvoo9WoburDTzYylznTCOJBHcnu7eurMw/edit?gid=15948134#gid=15948134"", ""Input!A1:B2000""),2,FALSE()))"),"abstract syntax tree")</f>
        <v>abstract syntax tree</v>
      </c>
    </row>
    <row r="140" hidden="1">
      <c r="A140" s="1" t="s">
        <v>448</v>
      </c>
      <c r="B140" s="1">
        <v>11.0</v>
      </c>
      <c r="C140" s="1" t="s">
        <v>461</v>
      </c>
      <c r="D140" s="1" t="s">
        <v>462</v>
      </c>
      <c r="E140" s="15" t="s">
        <v>463</v>
      </c>
      <c r="F140" s="14" t="s">
        <v>464</v>
      </c>
      <c r="G140" s="1" t="s">
        <v>54</v>
      </c>
      <c r="H140" s="15" t="s">
        <v>452</v>
      </c>
      <c r="J140" s="8" t="str">
        <f>IFERROR(__xludf.DUMMYFUNCTION("IF(ISBLANK(F140),""NA"", VLOOKUP(F140,IMPORTRANGE(""https://docs.google.com/spreadsheets/d/1EdCvim__xyxvoo9WoburDTzYylznTCOJBHcnu7eurMw/edit?gid=15948134#gid=15948134"", ""Purpose!A1:B1000""),2,FALSE()))"),"to improve the training efficency (time)")</f>
        <v>to improve the training efficency (time)</v>
      </c>
      <c r="K140" s="8" t="str">
        <f>IFERROR(__xludf.DUMMYFUNCTION("IF(ISBLANK(E140),""NA"", VLOOKUP(E140,IMPORTRANGE(""https://docs.google.com/spreadsheets/d/1EdCvim__xyxvoo9WoburDTzYylznTCOJBHcnu7eurMw/edit?gid=15948134#gid=15948134"", ""Technique!A1:B2000""),2,FALSE()))"),"encode multiple instances simultaneously")</f>
        <v>encode multiple instances simultaneously</v>
      </c>
      <c r="L140" s="8" t="str">
        <f>IFERROR(__xludf.DUMMYFUNCTION("IF(ISBLANK(D140),""NA"", VLOOKUP(D140,IMPORTRANGE(""https://docs.google.com/spreadsheets/d/1EdCvim__xyxvoo9WoburDTzYylznTCOJBHcnu7eurMw/edit?gid=15948134#gid=15948134"", ""Input!A1:B2000""),2,FALSE()))"),"code data (snippets)")</f>
        <v>code data (snippets)</v>
      </c>
    </row>
    <row r="141" hidden="1">
      <c r="A141" s="1" t="s">
        <v>448</v>
      </c>
      <c r="B141" s="1">
        <v>12.0</v>
      </c>
      <c r="C141" s="1" t="s">
        <v>465</v>
      </c>
      <c r="E141" s="15" t="s">
        <v>466</v>
      </c>
      <c r="F141" s="14" t="s">
        <v>467</v>
      </c>
      <c r="G141" s="1" t="s">
        <v>54</v>
      </c>
      <c r="H141" s="15" t="s">
        <v>452</v>
      </c>
      <c r="J141" s="8" t="str">
        <f>IFERROR(__xludf.DUMMYFUNCTION("IF(ISBLANK(F141),""NA"", VLOOKUP(F141,IMPORTRANGE(""https://docs.google.com/spreadsheets/d/1EdCvim__xyxvoo9WoburDTzYylznTCOJBHcnu7eurMw/edit?gid=15948134#gid=15948134"", ""Purpose!A1:B1000""),2,FALSE()))"),"to enhance the capability of capturing the dependency between data")</f>
        <v>to enhance the capability of capturing the dependency between data</v>
      </c>
      <c r="K141" s="8" t="str">
        <f>IFERROR(__xludf.DUMMYFUNCTION("IF(ISBLANK(E141),""NA"", VLOOKUP(E141,IMPORTRANGE(""https://docs.google.com/spreadsheets/d/1EdCvim__xyxvoo9WoburDTzYylznTCOJBHcnu7eurMw/edit?gid=15948134#gid=15948134"", ""Technique!A1:B2000""),2,FALSE()))"),"use bidirectional GRU")</f>
        <v>use bidirectional GRU</v>
      </c>
      <c r="L141" s="8" t="str">
        <f>IFERROR(__xludf.DUMMYFUNCTION("IF(ISBLANK(D141),""NA"", VLOOKUP(D141,IMPORTRANGE(""https://docs.google.com/spreadsheets/d/1EdCvim__xyxvoo9WoburDTzYylznTCOJBHcnu7eurMw/edit?gid=15948134#gid=15948134"", ""Input!A1:B2000""),2,FALSE()))"),"NA")</f>
        <v>NA</v>
      </c>
    </row>
    <row r="142" hidden="1">
      <c r="A142" s="1" t="s">
        <v>448</v>
      </c>
      <c r="B142" s="1" t="s">
        <v>468</v>
      </c>
      <c r="C142" s="1" t="s">
        <v>469</v>
      </c>
      <c r="D142" s="1" t="s">
        <v>33</v>
      </c>
      <c r="E142" s="1" t="s">
        <v>470</v>
      </c>
      <c r="F142" s="14" t="s">
        <v>471</v>
      </c>
      <c r="G142" s="1" t="s">
        <v>39</v>
      </c>
      <c r="H142" s="15" t="s">
        <v>452</v>
      </c>
      <c r="J142" s="8" t="str">
        <f>IFERROR(__xludf.DUMMYFUNCTION("IF(ISBLANK(F142),""NA"", VLOOKUP(F142,IMPORTRANGE(""https://docs.google.com/spreadsheets/d/1EdCvim__xyxvoo9WoburDTzYylznTCOJBHcnu7eurMw/edit?gid=15948134#gid=15948134"", ""Purpose!A1:B1000""),2,FALSE()))"),"to evaluate the model")</f>
        <v>to evaluate the model</v>
      </c>
      <c r="K142" s="8" t="str">
        <f>IFERROR(__xludf.DUMMYFUNCTION("IF(ISBLANK(E142),""NA"", VLOOKUP(E142,IMPORTRANGE(""https://docs.google.com/spreadsheets/d/1EdCvim__xyxvoo9WoburDTzYylznTCOJBHcnu7eurMw/edit?gid=15948134#gid=15948134"", ""Technique!A1:B2000""),2,FALSE()))"),"use existing datasets, benchmark datasets")</f>
        <v>use existing datasets, benchmark datasets</v>
      </c>
      <c r="L142" s="8" t="str">
        <f>IFERROR(__xludf.DUMMYFUNCTION("IF(ISBLANK(D142),""NA"", VLOOKUP(D142,IMPORTRANGE(""https://docs.google.com/spreadsheets/d/1EdCvim__xyxvoo9WoburDTzYylznTCOJBHcnu7eurMw/edit?gid=15948134#gid=15948134"", ""Input!A1:B2000""),2,FALSE()))"),"")</f>
        <v/>
      </c>
    </row>
    <row r="143" hidden="1">
      <c r="A143" s="1" t="s">
        <v>448</v>
      </c>
      <c r="B143" s="1">
        <v>14.0</v>
      </c>
      <c r="C143" s="1" t="s">
        <v>472</v>
      </c>
      <c r="D143" s="1" t="s">
        <v>473</v>
      </c>
      <c r="E143" s="15" t="s">
        <v>474</v>
      </c>
      <c r="F143" s="14" t="s">
        <v>475</v>
      </c>
      <c r="G143" s="1" t="s">
        <v>20</v>
      </c>
      <c r="H143" s="15" t="s">
        <v>452</v>
      </c>
      <c r="J143" s="8" t="str">
        <f>IFERROR(__xludf.DUMMYFUNCTION("IF(ISBLANK(F143),""NA"", VLOOKUP(F143,IMPORTRANGE(""https://docs.google.com/spreadsheets/d/1EdCvim__xyxvoo9WoburDTzYylznTCOJBHcnu7eurMw/edit?gid=15948134#gid=15948134"", ""Purpose!A1:B1000""),2,FALSE()))"),"to split the data into different sets")</f>
        <v>to split the data into different sets</v>
      </c>
      <c r="K143" s="8" t="str">
        <f>IFERROR(__xludf.DUMMYFUNCTION("IF(ISBLANK(E143),""NA"", VLOOKUP(E143,IMPORTRANGE(""https://docs.google.com/spreadsheets/d/1EdCvim__xyxvoo9WoburDTzYylznTCOJBHcnu7eurMw/edit?gid=15948134#gid=15948134"", ""Technique!A1:B2000""),2,FALSE()))"),"split data into train, validation and test")</f>
        <v>split data into train, validation and test</v>
      </c>
      <c r="L143" s="8" t="str">
        <f>IFERROR(__xludf.DUMMYFUNCTION("IF(ISBLANK(D143),""NA"", VLOOKUP(D143,IMPORTRANGE(""https://docs.google.com/spreadsheets/d/1EdCvim__xyxvoo9WoburDTzYylznTCOJBHcnu7eurMw/edit?gid=15948134#gid=15948134"", ""Input!A1:B2000""),2,FALSE()))"),"data")</f>
        <v>data</v>
      </c>
    </row>
    <row r="144" hidden="1">
      <c r="A144" s="1" t="s">
        <v>448</v>
      </c>
      <c r="B144" s="1">
        <v>8.0</v>
      </c>
      <c r="C144" s="1" t="s">
        <v>476</v>
      </c>
      <c r="D144" s="1" t="s">
        <v>11</v>
      </c>
      <c r="E144" s="1" t="s">
        <v>477</v>
      </c>
      <c r="F144" s="14" t="s">
        <v>434</v>
      </c>
      <c r="G144" s="1" t="s">
        <v>39</v>
      </c>
      <c r="H144" s="15" t="s">
        <v>457</v>
      </c>
      <c r="J144" s="8" t="str">
        <f>IFERROR(__xludf.DUMMYFUNCTION("IF(ISBLANK(F144),""NA"", VLOOKUP(F144,IMPORTRANGE(""https://docs.google.com/spreadsheets/d/1EdCvim__xyxvoo9WoburDTzYylznTCOJBHcnu7eurMw/edit?gid=15948134#gid=15948134"", ""Purpose!A1:B1000""),2,FALSE()))"),"to evaluate model(s) functionally (e.g., accuracy)")</f>
        <v>to evaluate model(s) functionally (e.g., accuracy)</v>
      </c>
      <c r="K144" s="8" t="str">
        <f>IFERROR(__xludf.DUMMYFUNCTION("IF(ISBLANK(E144),""NA"", VLOOKUP(E144,IMPORTRANGE(""https://docs.google.com/spreadsheets/d/1EdCvim__xyxvoo9WoburDTzYylznTCOJBHcnu7eurMw/edit?gid=15948134#gid=15948134"", ""Technique!A1:B2000""),2,FALSE()))"),"compute classical metrics (i.e., Accuracy)")</f>
        <v>compute classical metrics (i.e., Accuracy)</v>
      </c>
      <c r="L144" s="8" t="str">
        <f>IFERROR(__xludf.DUMMYFUNCTION("IF(ISBLANK(D144),""NA"", VLOOKUP(D144,IMPORTRANGE(""https://docs.google.com/spreadsheets/d/1EdCvim__xyxvoo9WoburDTzYylznTCOJBHcnu7eurMw/edit?gid=15948134#gid=15948134"", ""Input!A1:B2000""),2,FALSE()))"),"code data")</f>
        <v>code data</v>
      </c>
    </row>
    <row r="145" hidden="1">
      <c r="A145" s="1" t="s">
        <v>448</v>
      </c>
      <c r="B145" s="1">
        <v>15.0</v>
      </c>
      <c r="C145" s="1" t="s">
        <v>478</v>
      </c>
      <c r="D145" s="1" t="s">
        <v>412</v>
      </c>
      <c r="E145" s="1" t="s">
        <v>479</v>
      </c>
      <c r="F145" s="14" t="s">
        <v>38</v>
      </c>
      <c r="G145" s="1" t="s">
        <v>39</v>
      </c>
      <c r="H145" s="15" t="s">
        <v>452</v>
      </c>
      <c r="J145" s="8" t="str">
        <f>IFERROR(__xludf.DUMMYFUNCTION("IF(ISBLANK(F145),""NA"", VLOOKUP(F145,IMPORTRANGE(""https://docs.google.com/spreadsheets/d/1EdCvim__xyxvoo9WoburDTzYylznTCOJBHcnu7eurMw/edit?gid=15948134#gid=15948134"", ""Purpose!A1:B1000""),2,FALSE()))"),"to evaluate model(s) functionally (e.g., accuracy)")</f>
        <v>to evaluate model(s) functionally (e.g., accuracy)</v>
      </c>
      <c r="K145" s="8" t="str">
        <f>IFERROR(__xludf.DUMMYFUNCTION("IF(ISBLANK(E145),""NA"", VLOOKUP(E145,IMPORTRANGE(""https://docs.google.com/spreadsheets/d/1EdCvim__xyxvoo9WoburDTzYylznTCOJBHcnu7eurMw/edit?gid=15948134#gid=15948134"", ""Technique!A1:B2000""),2,FALSE()))"),"compute classical metrics (i.e., Precision, Recall. F-meassure)")</f>
        <v>compute classical metrics (i.e., Precision, Recall. F-meassure)</v>
      </c>
      <c r="L145" s="8" t="str">
        <f>IFERROR(__xludf.DUMMYFUNCTION("IF(ISBLANK(D145),""NA"", VLOOKUP(D145,IMPORTRANGE(""https://docs.google.com/spreadsheets/d/1EdCvim__xyxvoo9WoburDTzYylznTCOJBHcnu7eurMw/edit?gid=15948134#gid=15948134"", ""Input!A1:B2000""),2,FALSE()))"),"data + model(s)")</f>
        <v>data + model(s)</v>
      </c>
    </row>
    <row r="146" hidden="1">
      <c r="A146" s="1" t="s">
        <v>448</v>
      </c>
      <c r="B146" s="1" t="s">
        <v>480</v>
      </c>
      <c r="C146" s="1" t="s">
        <v>481</v>
      </c>
      <c r="D146" s="1" t="s">
        <v>307</v>
      </c>
      <c r="E146" s="1" t="s">
        <v>482</v>
      </c>
      <c r="F146" s="14" t="s">
        <v>309</v>
      </c>
      <c r="G146" s="1" t="s">
        <v>39</v>
      </c>
      <c r="H146" s="15" t="s">
        <v>452</v>
      </c>
      <c r="J146" s="8" t="str">
        <f>IFERROR(__xludf.DUMMYFUNCTION("IF(ISBLANK(F146),""NA"", VLOOKUP(F146,IMPORTRANGE(""https://docs.google.com/spreadsheets/d/1EdCvim__xyxvoo9WoburDTzYylznTCOJBHcnu7eurMw/edit?gid=15948134#gid=15948134"", ""Purpose!A1:B1000""),2,FALSE()))"),"to evaluate model(s) functionally (e.g., accuracy)")</f>
        <v>to evaluate model(s) functionally (e.g., accuracy)</v>
      </c>
      <c r="K146" s="8" t="str">
        <f>IFERROR(__xludf.DUMMYFUNCTION("IF(ISBLANK(E146),""NA"", VLOOKUP(E146,IMPORTRANGE(""https://docs.google.com/spreadsheets/d/1EdCvim__xyxvoo9WoburDTzYylznTCOJBHcnu7eurMw/edit?gid=15948134#gid=15948134"", ""Technique!A1:B2000""),2,FALSE()))"),"compare with baseline model(s), state-of-the-art baselines")</f>
        <v>compare with baseline model(s), state-of-the-art baselines</v>
      </c>
      <c r="L146" s="8" t="str">
        <f>IFERROR(__xludf.DUMMYFUNCTION("IF(ISBLANK(D146),""NA"", VLOOKUP(D146,IMPORTRANGE(""https://docs.google.com/spreadsheets/d/1EdCvim__xyxvoo9WoburDTzYylznTCOJBHcnu7eurMw/edit?gid=15948134#gid=15948134"", ""Input!A1:B2000""),2,FALSE()))"),"data + model(s)")</f>
        <v>data + model(s)</v>
      </c>
    </row>
    <row r="147" hidden="1">
      <c r="A147" s="1" t="s">
        <v>483</v>
      </c>
      <c r="B147" s="1">
        <v>7.0</v>
      </c>
      <c r="C147" s="1" t="s">
        <v>484</v>
      </c>
      <c r="D147" s="1" t="s">
        <v>485</v>
      </c>
      <c r="E147" s="16" t="s">
        <v>486</v>
      </c>
      <c r="F147" s="14" t="s">
        <v>487</v>
      </c>
      <c r="G147" s="1" t="s">
        <v>54</v>
      </c>
      <c r="H147" s="15" t="s">
        <v>488</v>
      </c>
      <c r="J147" s="8" t="str">
        <f>IFERROR(__xludf.DUMMYFUNCTION("IF(ISBLANK(F147),""NA"", VLOOKUP(F147,IMPORTRANGE(""https://docs.google.com/spreadsheets/d/1EdCvim__xyxvoo9WoburDTzYylznTCOJBHcnu7eurMw/edit?gid=15948134#gid=15948134"", ""Purpose!A1:B1000""),2,FALSE()))"),"to understand an initial  idea of how models behave with code data")</f>
        <v>to understand an initial  idea of how models behave with code data</v>
      </c>
      <c r="K147" s="8" t="str">
        <f>IFERROR(__xludf.DUMMYFUNCTION("IF(ISBLANK(E147),""NA"", VLOOKUP(E147,IMPORTRANGE(""https://docs.google.com/spreadsheets/d/1EdCvim__xyxvoo9WoburDTzYylznTCOJBHcnu7eurMw/edit?gid=15948134#gid=15948134"", ""Technique!A1:B2000""),2,FALSE()))"),"use n-gram model")</f>
        <v>use n-gram model</v>
      </c>
      <c r="L147" s="8" t="str">
        <f>IFERROR(__xludf.DUMMYFUNCTION("IF(ISBLANK(D147),""NA"", VLOOKUP(D147,IMPORTRANGE(""https://docs.google.com/spreadsheets/d/1EdCvim__xyxvoo9WoburDTzYylznTCOJBHcnu7eurMw/edit?gid=15948134#gid=15948134"", ""Input!A1:B2000""),2,FALSE()))"),"code data")</f>
        <v>code data</v>
      </c>
    </row>
    <row r="148" hidden="1">
      <c r="A148" s="1" t="s">
        <v>483</v>
      </c>
      <c r="B148" s="1">
        <v>1.8</v>
      </c>
      <c r="C148" s="1" t="s">
        <v>484</v>
      </c>
      <c r="D148" s="1" t="s">
        <v>33</v>
      </c>
      <c r="E148" s="14" t="s">
        <v>489</v>
      </c>
      <c r="F148" s="14" t="s">
        <v>490</v>
      </c>
      <c r="G148" s="1" t="s">
        <v>44</v>
      </c>
      <c r="H148" s="15" t="s">
        <v>488</v>
      </c>
      <c r="J148" s="8" t="str">
        <f>IFERROR(__xludf.DUMMYFUNCTION("IF(ISBLANK(F148),""NA"", VLOOKUP(F148,IMPORTRANGE(""https://docs.google.com/spreadsheets/d/1EdCvim__xyxvoo9WoburDTzYylznTCOJBHcnu7eurMw/edit?gid=15948134#gid=15948134"", ""Purpose!A1:B1000""),2,FALSE()))"),"to collect data, code data that is mature")</f>
        <v>to collect data, code data that is mature</v>
      </c>
      <c r="K148" s="8" t="str">
        <f>IFERROR(__xludf.DUMMYFUNCTION("IF(ISBLANK(E148),""NA"", VLOOKUP(E148,IMPORTRANGE(""https://docs.google.com/spreadsheets/d/1EdCvim__xyxvoo9WoburDTzYylznTCOJBHcnu7eurMw/edit?gid=15948134#gid=15948134"", ""Technique!A1:B2000""),2,FALSE()))"),"collect own data from open-source projects, popular ones")</f>
        <v>collect own data from open-source projects, popular ones</v>
      </c>
      <c r="L148" s="8" t="str">
        <f>IFERROR(__xludf.DUMMYFUNCTION("IF(ISBLANK(D148),""NA"", VLOOKUP(D148,IMPORTRANGE(""https://docs.google.com/spreadsheets/d/1EdCvim__xyxvoo9WoburDTzYylznTCOJBHcnu7eurMw/edit?gid=15948134#gid=15948134"", ""Input!A1:B2000""),2,FALSE()))"),"")</f>
        <v/>
      </c>
    </row>
    <row r="149" hidden="1">
      <c r="A149" s="1" t="s">
        <v>483</v>
      </c>
      <c r="B149" s="1" t="s">
        <v>438</v>
      </c>
      <c r="C149" s="1" t="s">
        <v>491</v>
      </c>
      <c r="D149" s="1" t="s">
        <v>473</v>
      </c>
      <c r="E149" s="16" t="s">
        <v>492</v>
      </c>
      <c r="F149" s="1" t="s">
        <v>33</v>
      </c>
      <c r="G149" s="1" t="s">
        <v>20</v>
      </c>
      <c r="H149" s="15" t="s">
        <v>488</v>
      </c>
      <c r="J149" s="8" t="str">
        <f>IFERROR(__xludf.DUMMYFUNCTION("IF(ISBLANK(F149),""NA"", VLOOKUP(F149,IMPORTRANGE(""https://docs.google.com/spreadsheets/d/1EdCvim__xyxvoo9WoburDTzYylznTCOJBHcnu7eurMw/edit?gid=15948134#gid=15948134"", ""Purpose!A1:B1000""),2,FALSE()))"),"")</f>
        <v/>
      </c>
      <c r="K149" s="8" t="str">
        <f>IFERROR(__xludf.DUMMYFUNCTION("IF(ISBLANK(E149),""NA"", VLOOKUP(E149,IMPORTRANGE(""https://docs.google.com/spreadsheets/d/1EdCvim__xyxvoo9WoburDTzYylznTCOJBHcnu7eurMw/edit?gid=15948134#gid=15948134"", ""Technique!A1:B2000""),2,FALSE()))"),"split data into train and test")</f>
        <v>split data into train and test</v>
      </c>
      <c r="L149" s="8" t="str">
        <f>IFERROR(__xludf.DUMMYFUNCTION("IF(ISBLANK(D149),""NA"", VLOOKUP(D149,IMPORTRANGE(""https://docs.google.com/spreadsheets/d/1EdCvim__xyxvoo9WoburDTzYylznTCOJBHcnu7eurMw/edit?gid=15948134#gid=15948134"", ""Input!A1:B2000""),2,FALSE()))"),"data")</f>
        <v>data</v>
      </c>
    </row>
    <row r="150" hidden="1">
      <c r="A150" s="1" t="s">
        <v>483</v>
      </c>
      <c r="B150" s="1" t="s">
        <v>493</v>
      </c>
      <c r="C150" s="1" t="s">
        <v>491</v>
      </c>
      <c r="D150" s="1" t="s">
        <v>494</v>
      </c>
      <c r="E150" s="14" t="s">
        <v>495</v>
      </c>
      <c r="F150" s="14" t="s">
        <v>496</v>
      </c>
      <c r="G150" s="1" t="s">
        <v>39</v>
      </c>
      <c r="H150" s="15" t="s">
        <v>488</v>
      </c>
      <c r="J150" s="8" t="str">
        <f>IFERROR(__xludf.DUMMYFUNCTION("IF(ISBLANK(F150),""NA"", VLOOKUP(F150,IMPORTRANGE(""https://docs.google.com/spreadsheets/d/1EdCvim__xyxvoo9WoburDTzYylznTCOJBHcnu7eurMw/edit?gid=15948134#gid=15948134"", ""Purpose!A1:B1000""),2,FALSE()))"),"to evaluate model(s) functionally (e.g., accuracy)")</f>
        <v>to evaluate model(s) functionally (e.g., accuracy)</v>
      </c>
      <c r="K150" s="8" t="str">
        <f>IFERROR(__xludf.DUMMYFUNCTION("IF(ISBLANK(E150),""NA"", VLOOKUP(E150,IMPORTRANGE(""https://docs.google.com/spreadsheets/d/1EdCvim__xyxvoo9WoburDTzYylznTCOJBHcnu7eurMw/edit?gid=15948134#gid=15948134"", ""Technique!A1:B2000""),2,FALSE()))"),"compute classical metrics (i.e., Accuracy and F-meassure)")</f>
        <v>compute classical metrics (i.e., Accuracy and F-meassure)</v>
      </c>
      <c r="L150" s="8" t="str">
        <f>IFERROR(__xludf.DUMMYFUNCTION("IF(ISBLANK(D150),""NA"", VLOOKUP(D150,IMPORTRANGE(""https://docs.google.com/spreadsheets/d/1EdCvim__xyxvoo9WoburDTzYylznTCOJBHcnu7eurMw/edit?gid=15948134#gid=15948134"", ""Input!A1:B2000""),2,FALSE()))"),"model(s)' output, generated code")</f>
        <v>model(s)' output, generated code</v>
      </c>
    </row>
    <row r="151" hidden="1">
      <c r="A151" s="1" t="s">
        <v>483</v>
      </c>
      <c r="B151" s="1">
        <v>11.0</v>
      </c>
      <c r="C151" s="1" t="s">
        <v>491</v>
      </c>
      <c r="D151" s="1" t="s">
        <v>494</v>
      </c>
      <c r="E151" s="14" t="s">
        <v>497</v>
      </c>
      <c r="F151" s="14" t="s">
        <v>496</v>
      </c>
      <c r="G151" s="1" t="s">
        <v>39</v>
      </c>
      <c r="H151" s="15" t="s">
        <v>488</v>
      </c>
      <c r="J151" s="8" t="str">
        <f>IFERROR(__xludf.DUMMYFUNCTION("IF(ISBLANK(F151),""NA"", VLOOKUP(F151,IMPORTRANGE(""https://docs.google.com/spreadsheets/d/1EdCvim__xyxvoo9WoburDTzYylznTCOJBHcnu7eurMw/edit?gid=15948134#gid=15948134"", ""Purpose!A1:B1000""),2,FALSE()))"),"to evaluate model(s) functionally (e.g., accuracy)")</f>
        <v>to evaluate model(s) functionally (e.g., accuracy)</v>
      </c>
      <c r="K151" s="8" t="str">
        <f>IFERROR(__xludf.DUMMYFUNCTION("IF(ISBLANK(E151),""NA"", VLOOKUP(E151,IMPORTRANGE(""https://docs.google.com/spreadsheets/d/1EdCvim__xyxvoo9WoburDTzYylznTCOJBHcnu7eurMw/edit?gid=15948134#gid=15948134"", ""Technique!A1:B2000""),2,FALSE()))"),"compute metrics (i.e., partial credit, when subtokens are shared with the correct oice of code)")</f>
        <v>compute metrics (i.e., partial credit, when subtokens are shared with the correct oice of code)</v>
      </c>
      <c r="L151" s="8" t="str">
        <f>IFERROR(__xludf.DUMMYFUNCTION("IF(ISBLANK(D151),""NA"", VLOOKUP(D151,IMPORTRANGE(""https://docs.google.com/spreadsheets/d/1EdCvim__xyxvoo9WoburDTzYylznTCOJBHcnu7eurMw/edit?gid=15948134#gid=15948134"", ""Input!A1:B2000""),2,FALSE()))"),"model(s)' output, generated code")</f>
        <v>model(s)' output, generated code</v>
      </c>
    </row>
    <row r="152" hidden="1">
      <c r="A152" s="1" t="s">
        <v>483</v>
      </c>
      <c r="B152" s="1">
        <v>12.0</v>
      </c>
      <c r="C152" s="1" t="s">
        <v>491</v>
      </c>
      <c r="D152" s="1" t="s">
        <v>205</v>
      </c>
      <c r="E152" s="14" t="s">
        <v>498</v>
      </c>
      <c r="F152" s="1" t="s">
        <v>33</v>
      </c>
      <c r="G152" s="1" t="s">
        <v>14</v>
      </c>
      <c r="H152" s="15" t="s">
        <v>488</v>
      </c>
      <c r="J152" s="8" t="str">
        <f>IFERROR(__xludf.DUMMYFUNCTION("IF(ISBLANK(F152),""NA"", VLOOKUP(F152,IMPORTRANGE(""https://docs.google.com/spreadsheets/d/1EdCvim__xyxvoo9WoburDTzYylznTCOJBHcnu7eurMw/edit?gid=15948134#gid=15948134"", ""Purpose!A1:B1000""),2,FALSE()))"),"")</f>
        <v/>
      </c>
      <c r="K152" s="8" t="str">
        <f>IFERROR(__xludf.DUMMYFUNCTION("IF(ISBLANK(E152),""NA"", VLOOKUP(E152,IMPORTRANGE(""https://docs.google.com/spreadsheets/d/1EdCvim__xyxvoo9WoburDTzYylznTCOJBHcnu7eurMw/edit?gid=15948134#gid=15948134"", ""Technique!A1:B2000""),2,FALSE()))"),"replace low frequency terms with UNK token")</f>
        <v>replace low frequency terms with UNK token</v>
      </c>
      <c r="L152" s="8" t="str">
        <f>IFERROR(__xludf.DUMMYFUNCTION("IF(ISBLANK(D152),""NA"", VLOOKUP(D152,IMPORTRANGE(""https://docs.google.com/spreadsheets/d/1EdCvim__xyxvoo9WoburDTzYylznTCOJBHcnu7eurMw/edit?gid=15948134#gid=15948134"", ""Input!A1:B2000""),2,FALSE()))"),"data")</f>
        <v>data</v>
      </c>
    </row>
    <row r="153" hidden="1">
      <c r="A153" s="1" t="s">
        <v>483</v>
      </c>
      <c r="B153" s="1">
        <v>13.0</v>
      </c>
      <c r="C153" s="1" t="s">
        <v>491</v>
      </c>
      <c r="D153" s="1" t="s">
        <v>499</v>
      </c>
      <c r="E153" s="16" t="s">
        <v>500</v>
      </c>
      <c r="F153" s="14" t="s">
        <v>501</v>
      </c>
      <c r="G153" s="1" t="s">
        <v>54</v>
      </c>
      <c r="H153" s="15" t="s">
        <v>488</v>
      </c>
      <c r="J153" s="8" t="str">
        <f>IFERROR(__xludf.DUMMYFUNCTION("IF(ISBLANK(F153),""NA"", VLOOKUP(F153,IMPORTRANGE(""https://docs.google.com/spreadsheets/d/1EdCvim__xyxvoo9WoburDTzYylznTCOJBHcnu7eurMw/edit?gid=15948134#gid=15948134"", ""Purpose!A1:B1000""),2,FALSE()))"),"to find the best hyperparameters in general")</f>
        <v>to find the best hyperparameters in general</v>
      </c>
      <c r="K153" s="8" t="str">
        <f>IFERROR(__xludf.DUMMYFUNCTION("IF(ISBLANK(E153),""NA"", VLOOKUP(E153,IMPORTRANGE(""https://docs.google.com/spreadsheets/d/1EdCvim__xyxvoo9WoburDTzYylznTCOJBHcnu7eurMw/edit?gid=15948134#gid=15948134"", ""Technique!A1:B2000""),2,FALSE()))"),"hyperparameter tuning evaluation on validation set")</f>
        <v>hyperparameter tuning evaluation on validation set</v>
      </c>
      <c r="L153" s="8" t="str">
        <f>IFERROR(__xludf.DUMMYFUNCTION("IF(ISBLANK(D153),""NA"", VLOOKUP(D153,IMPORTRANGE(""https://docs.google.com/spreadsheets/d/1EdCvim__xyxvoo9WoburDTzYylznTCOJBHcnu7eurMw/edit?gid=15948134#gid=15948134"", ""Input!A1:B2000""),2,FALSE()))"),"data + model(s)")</f>
        <v>data + model(s)</v>
      </c>
    </row>
    <row r="154" hidden="1">
      <c r="A154" s="1" t="s">
        <v>483</v>
      </c>
      <c r="B154" s="1">
        <v>2.0</v>
      </c>
      <c r="C154" s="1" t="s">
        <v>502</v>
      </c>
      <c r="D154" s="1" t="s">
        <v>503</v>
      </c>
      <c r="E154" s="14" t="s">
        <v>504</v>
      </c>
      <c r="F154" s="14" t="s">
        <v>505</v>
      </c>
      <c r="G154" s="1" t="s">
        <v>506</v>
      </c>
      <c r="H154" s="15" t="s">
        <v>488</v>
      </c>
      <c r="J154" s="8" t="str">
        <f>IFERROR(__xludf.DUMMYFUNCTION("IF(ISBLANK(F154),""NA"", VLOOKUP(F154,IMPORTRANGE(""https://docs.google.com/spreadsheets/d/1EdCvim__xyxvoo9WoburDTzYylznTCOJBHcnu7eurMw/edit?gid=15948134#gid=15948134"", ""Purpose!A1:B1000""),2,FALSE()))"),"to avoid disturbing the user when using the model")</f>
        <v>to avoid disturbing the user when using the model</v>
      </c>
      <c r="K154" s="8" t="str">
        <f>IFERROR(__xludf.DUMMYFUNCTION("IF(ISBLANK(E154),""NA"", VLOOKUP(E154,IMPORTRANGE(""https://docs.google.com/spreadsheets/d/1EdCvim__xyxvoo9WoburDTzYylznTCOJBHcnu7eurMw/edit?gid=15948134#gid=15948134"", ""Technique!A1:B2000""),2,FALSE()))"),"deploy the model with a confidence filter (i.e., minimum threshold for presenting an output)")</f>
        <v>deploy the model with a confidence filter (i.e., minimum threshold for presenting an output)</v>
      </c>
      <c r="L154" s="8" t="str">
        <f>IFERROR(__xludf.DUMMYFUNCTION("IF(ISBLANK(D154),""NA"", VLOOKUP(D154,IMPORTRANGE(""https://docs.google.com/spreadsheets/d/1EdCvim__xyxvoo9WoburDTzYylznTCOJBHcnu7eurMw/edit?gid=15948134#gid=15948134"", ""Input!A1:B2000""),2,FALSE()))"),"model(s)")</f>
        <v>model(s)</v>
      </c>
    </row>
    <row r="155" hidden="1">
      <c r="A155" s="1" t="s">
        <v>483</v>
      </c>
      <c r="B155" s="1">
        <v>5.0</v>
      </c>
      <c r="C155" s="1" t="s">
        <v>507</v>
      </c>
      <c r="D155" s="1" t="s">
        <v>508</v>
      </c>
      <c r="E155" s="14" t="s">
        <v>509</v>
      </c>
      <c r="F155" s="14" t="s">
        <v>510</v>
      </c>
      <c r="G155" s="1" t="s">
        <v>14</v>
      </c>
      <c r="H155" s="15" t="s">
        <v>488</v>
      </c>
      <c r="J155" s="8" t="str">
        <f>IFERROR(__xludf.DUMMYFUNCTION("IF(ISBLANK(F155),""NA"", VLOOKUP(F155,IMPORTRANGE(""https://docs.google.com/spreadsheets/d/1EdCvim__xyxvoo9WoburDTzYylznTCOJBHcnu7eurMw/edit?gid=15948134#gid=15948134"", ""Purpose!A1:B1000""),2,FALSE()))"),"to check if similar semantic words have similar embeddings")</f>
        <v>to check if similar semantic words have similar embeddings</v>
      </c>
      <c r="K155" s="8" t="str">
        <f>IFERROR(__xludf.DUMMYFUNCTION("IF(ISBLANK(E155),""NA"", VLOOKUP(E155,IMPORTRANGE(""https://docs.google.com/spreadsheets/d/1EdCvim__xyxvoo9WoburDTzYylznTCOJBHcnu7eurMw/edit?gid=15948134#gid=15948134"", ""Technique!A1:B2000""),2,FALSE()))"),"feature extraction with PCA, compare vector embeddings")</f>
        <v>feature extraction with PCA, compare vector embeddings</v>
      </c>
      <c r="L155" s="8" t="str">
        <f>IFERROR(__xludf.DUMMYFUNCTION("IF(ISBLANK(D155),""NA"", VLOOKUP(D155,IMPORTRANGE(""https://docs.google.com/spreadsheets/d/1EdCvim__xyxvoo9WoburDTzYylznTCOJBHcnu7eurMw/edit?gid=15948134#gid=15948134"", ""Input!A1:B2000""),2,FALSE()))"),"embeddings")</f>
        <v>embeddings</v>
      </c>
    </row>
    <row r="156" hidden="1">
      <c r="A156" s="1" t="s">
        <v>483</v>
      </c>
      <c r="B156" s="1">
        <v>6.0</v>
      </c>
      <c r="C156" s="1" t="s">
        <v>511</v>
      </c>
      <c r="E156" s="14" t="s">
        <v>512</v>
      </c>
      <c r="F156" s="14" t="s">
        <v>513</v>
      </c>
      <c r="G156" s="1" t="s">
        <v>39</v>
      </c>
      <c r="H156" s="15" t="s">
        <v>488</v>
      </c>
      <c r="J156" s="8" t="str">
        <f>IFERROR(__xludf.DUMMYFUNCTION("IF(ISBLANK(F156),""NA"", VLOOKUP(F156,IMPORTRANGE(""https://docs.google.com/spreadsheets/d/1EdCvim__xyxvoo9WoburDTzYylznTCOJBHcnu7eurMw/edit?gid=15948134#gid=15948134"", ""Purpose!A1:B1000""),2,FALSE()))"),"to evaluate model(s) functionally (e.g., accuracy) against others")</f>
        <v>to evaluate model(s) functionally (e.g., accuracy) against others</v>
      </c>
      <c r="K156" s="8" t="str">
        <f>IFERROR(__xludf.DUMMYFUNCTION("IF(ISBLANK(E156),""NA"", VLOOKUP(E156,IMPORTRANGE(""https://docs.google.com/spreadsheets/d/1EdCvim__xyxvoo9WoburDTzYylznTCOJBHcnu7eurMw/edit?gid=15948134#gid=15948134"", ""Technique!A1:B2000""),2,FALSE()))"),"compare with baseline model(s), state-of-the-art baselines, shallow learning (n-gram)")</f>
        <v>compare with baseline model(s), state-of-the-art baselines, shallow learning (n-gram)</v>
      </c>
      <c r="L156" s="8" t="str">
        <f>IFERROR(__xludf.DUMMYFUNCTION("IF(ISBLANK(D156),""NA"", VLOOKUP(D156,IMPORTRANGE(""https://docs.google.com/spreadsheets/d/1EdCvim__xyxvoo9WoburDTzYylznTCOJBHcnu7eurMw/edit?gid=15948134#gid=15948134"", ""Input!A1:B2000""),2,FALSE()))"),"NA")</f>
        <v>NA</v>
      </c>
    </row>
    <row r="157" hidden="1">
      <c r="A157" s="21" t="s">
        <v>514</v>
      </c>
      <c r="B157" s="1" t="s">
        <v>515</v>
      </c>
      <c r="C157" s="1" t="s">
        <v>515</v>
      </c>
      <c r="H157" s="10"/>
      <c r="J157" s="8" t="str">
        <f>IFERROR(__xludf.DUMMYFUNCTION("IF(ISBLANK(F157),""NA"", VLOOKUP(F157,IMPORTRANGE(""https://docs.google.com/spreadsheets/d/1EdCvim__xyxvoo9WoburDTzYylznTCOJBHcnu7eurMw/edit?gid=15948134#gid=15948134"", ""Purpose!A1:B1000""),2,FALSE()))"),"NA")</f>
        <v>NA</v>
      </c>
      <c r="K157" s="8" t="str">
        <f>IFERROR(__xludf.DUMMYFUNCTION("IF(ISBLANK(E157),""NA"", VLOOKUP(E157,IMPORTRANGE(""https://docs.google.com/spreadsheets/d/1EdCvim__xyxvoo9WoburDTzYylznTCOJBHcnu7eurMw/edit?gid=15948134#gid=15948134"", ""Technique!A1:B2000""),2,FALSE()))"),"NA")</f>
        <v>NA</v>
      </c>
      <c r="L157" s="8" t="str">
        <f>IFERROR(__xludf.DUMMYFUNCTION("IF(ISBLANK(D157),""NA"", VLOOKUP(D157,IMPORTRANGE(""https://docs.google.com/spreadsheets/d/1EdCvim__xyxvoo9WoburDTzYylznTCOJBHcnu7eurMw/edit?gid=15948134#gid=15948134"", ""Input!A1:B2000""),2,FALSE()))"),"NA")</f>
        <v>NA</v>
      </c>
    </row>
    <row r="158" hidden="1">
      <c r="A158" s="1" t="s">
        <v>516</v>
      </c>
      <c r="B158" s="1" t="s">
        <v>9</v>
      </c>
      <c r="C158" s="1" t="s">
        <v>517</v>
      </c>
      <c r="D158" s="1" t="s">
        <v>518</v>
      </c>
      <c r="E158" s="16" t="s">
        <v>519</v>
      </c>
      <c r="F158" s="14" t="s">
        <v>520</v>
      </c>
      <c r="G158" s="1" t="s">
        <v>54</v>
      </c>
      <c r="H158" s="15" t="s">
        <v>521</v>
      </c>
      <c r="J158" s="8" t="str">
        <f>IFERROR(__xludf.DUMMYFUNCTION("IF(ISBLANK(F158),""NA"", VLOOKUP(F158,IMPORTRANGE(""https://docs.google.com/spreadsheets/d/1EdCvim__xyxvoo9WoburDTzYylznTCOJBHcnu7eurMw/edit?gid=15948134#gid=15948134"", ""Purpose!A1:B1000""),2,FALSE()))"),"to train a model for detection tasks (i.e., requirements conflicts detection)")</f>
        <v>to train a model for detection tasks (i.e., requirements conflicts detection)</v>
      </c>
      <c r="K158" s="8" t="str">
        <f>IFERROR(__xludf.DUMMYFUNCTION("IF(ISBLANK(E158),""NA"", VLOOKUP(E158,IMPORTRANGE(""https://docs.google.com/spreadsheets/d/1EdCvim__xyxvoo9WoburDTzYylznTCOJBHcnu7eurMw/edit?gid=15948134#gid=15948134"", ""Technique!A1:B2000""),2,FALSE()))"),"use genetic algorithms")</f>
        <v>use genetic algorithms</v>
      </c>
      <c r="L158" s="8" t="str">
        <f>IFERROR(__xludf.DUMMYFUNCTION("IF(ISBLANK(D158),""NA"", VLOOKUP(D158,IMPORTRANGE(""https://docs.google.com/spreadsheets/d/1EdCvim__xyxvoo9WoburDTzYylznTCOJBHcnu7eurMw/edit?gid=15948134#gid=15948134"", ""Input!A1:B2000""),2,FALSE()))"),"textual data (Linear-Time Temporal Logic)")</f>
        <v>textual data (Linear-Time Temporal Logic)</v>
      </c>
    </row>
    <row r="159" hidden="1">
      <c r="A159" s="1" t="s">
        <v>516</v>
      </c>
      <c r="B159" s="1" t="s">
        <v>261</v>
      </c>
      <c r="C159" s="1" t="s">
        <v>522</v>
      </c>
      <c r="D159" s="1" t="s">
        <v>518</v>
      </c>
      <c r="E159" s="14" t="s">
        <v>523</v>
      </c>
      <c r="F159" s="14" t="s">
        <v>524</v>
      </c>
      <c r="G159" s="1" t="s">
        <v>14</v>
      </c>
      <c r="H159" s="15" t="s">
        <v>521</v>
      </c>
      <c r="J159" s="8" t="str">
        <f>IFERROR(__xludf.DUMMYFUNCTION("IF(ISBLANK(F159),""NA"", VLOOKUP(F159,IMPORTRANGE(""https://docs.google.com/spreadsheets/d/1EdCvim__xyxvoo9WoburDTzYylznTCOJBHcnu7eurMw/edit?gid=15948134#gid=15948134"", ""Purpose!A1:B1000""),2,FALSE()))"),"to represent data as chromosome structure")</f>
        <v>to represent data as chromosome structure</v>
      </c>
      <c r="K159" s="8" t="str">
        <f>IFERROR(__xludf.DUMMYFUNCTION("IF(ISBLANK(E159),""NA"", VLOOKUP(E159,IMPORTRANGE(""https://docs.google.com/spreadsheets/d/1EdCvim__xyxvoo9WoburDTzYylznTCOJBHcnu7eurMw/edit?gid=15948134#gid=15948134"", ""Technique!A1:B2000""),2,FALSE()))"),"convert formulas into definitional conjunctive normal form")</f>
        <v>convert formulas into definitional conjunctive normal form</v>
      </c>
      <c r="L159" s="8" t="str">
        <f>IFERROR(__xludf.DUMMYFUNCTION("IF(ISBLANK(D159),""NA"", VLOOKUP(D159,IMPORTRANGE(""https://docs.google.com/spreadsheets/d/1EdCvim__xyxvoo9WoburDTzYylznTCOJBHcnu7eurMw/edit?gid=15948134#gid=15948134"", ""Input!A1:B2000""),2,FALSE()))"),"textual data (Linear-Time Temporal Logic)")</f>
        <v>textual data (Linear-Time Temporal Logic)</v>
      </c>
    </row>
    <row r="160" hidden="1">
      <c r="A160" s="1" t="s">
        <v>516</v>
      </c>
      <c r="B160" s="1" t="s">
        <v>438</v>
      </c>
      <c r="C160" s="1" t="s">
        <v>525</v>
      </c>
      <c r="D160" s="1" t="s">
        <v>526</v>
      </c>
      <c r="E160" s="14" t="s">
        <v>527</v>
      </c>
      <c r="F160" s="14" t="s">
        <v>528</v>
      </c>
      <c r="G160" s="1" t="s">
        <v>39</v>
      </c>
      <c r="H160" s="15" t="s">
        <v>521</v>
      </c>
      <c r="J160" s="8" t="str">
        <f>IFERROR(__xludf.DUMMYFUNCTION("IF(ISBLANK(F160),""NA"", VLOOKUP(F160,IMPORTRANGE(""https://docs.google.com/spreadsheets/d/1EdCvim__xyxvoo9WoburDTzYylznTCOJBHcnu7eurMw/edit?gid=15948134#gid=15948134"", ""Purpose!A1:B1000""),2,FALSE()))"),"to evaluate model(s) functionally (e.g., accuracy)")</f>
        <v>to evaluate model(s) functionally (e.g., accuracy)</v>
      </c>
      <c r="K160" s="8" t="str">
        <f>IFERROR(__xludf.DUMMYFUNCTION("IF(ISBLANK(E160),""NA"", VLOOKUP(E160,IMPORTRANGE(""https://docs.google.com/spreadsheets/d/1EdCvim__xyxvoo9WoburDTzYylznTCOJBHcnu7eurMw/edit?gid=15948134#gid=15948134"", ""Technique!A1:B2000""),2,FALSE()))"),"use existing datasets, benchmark datasets")</f>
        <v>use existing datasets, benchmark datasets</v>
      </c>
      <c r="L160" s="8" t="str">
        <f>IFERROR(__xludf.DUMMYFUNCTION("IF(ISBLANK(D160),""NA"", VLOOKUP(D160,IMPORTRANGE(""https://docs.google.com/spreadsheets/d/1EdCvim__xyxvoo9WoburDTzYylznTCOJBHcnu7eurMw/edit?gid=15948134#gid=15948134"", ""Input!A1:B2000""),2,FALSE()))"),"vector representation (Linear-Time Temporal Logic) + genetic model(s)")</f>
        <v>vector representation (Linear-Time Temporal Logic) + genetic model(s)</v>
      </c>
    </row>
    <row r="161" hidden="1">
      <c r="A161" s="1" t="s">
        <v>516</v>
      </c>
      <c r="B161" s="1">
        <v>10.0</v>
      </c>
      <c r="C161" s="1" t="s">
        <v>529</v>
      </c>
      <c r="D161" s="1" t="s">
        <v>526</v>
      </c>
      <c r="E161" s="14" t="s">
        <v>530</v>
      </c>
      <c r="F161" s="14" t="s">
        <v>531</v>
      </c>
      <c r="G161" s="1" t="s">
        <v>39</v>
      </c>
      <c r="H161" s="15" t="s">
        <v>521</v>
      </c>
      <c r="J161" s="8" t="str">
        <f>IFERROR(__xludf.DUMMYFUNCTION("IF(ISBLANK(F161),""NA"", VLOOKUP(F161,IMPORTRANGE(""https://docs.google.com/spreadsheets/d/1EdCvim__xyxvoo9WoburDTzYylznTCOJBHcnu7eurMw/edit?gid=15948134#gid=15948134"", ""Purpose!A1:B1000""),2,FALSE()))"),"to evaluate model(s) functionally (e.g., accuracy)")</f>
        <v>to evaluate model(s) functionally (e.g., accuracy)</v>
      </c>
      <c r="K161" s="8" t="str">
        <f>IFERROR(__xludf.DUMMYFUNCTION("IF(ISBLANK(E161),""NA"", VLOOKUP(E161,IMPORTRANGE(""https://docs.google.com/spreadsheets/d/1EdCvim__xyxvoo9WoburDTzYylznTCOJBHcnu7eurMw/edit?gid=15948134#gid=15948134"", ""Technique!A1:B2000""),2,FALSE()))"),"multiple runs/experiments")</f>
        <v>multiple runs/experiments</v>
      </c>
      <c r="L161" s="8" t="str">
        <f>IFERROR(__xludf.DUMMYFUNCTION("IF(ISBLANK(D161),""NA"", VLOOKUP(D161,IMPORTRANGE(""https://docs.google.com/spreadsheets/d/1EdCvim__xyxvoo9WoburDTzYylznTCOJBHcnu7eurMw/edit?gid=15948134#gid=15948134"", ""Input!A1:B2000""),2,FALSE()))"),"vector representation (Linear-Time Temporal Logic) + genetic model(s)")</f>
        <v>vector representation (Linear-Time Temporal Logic) + genetic model(s)</v>
      </c>
    </row>
    <row r="162" hidden="1">
      <c r="A162" s="1" t="s">
        <v>516</v>
      </c>
      <c r="B162" s="1">
        <v>11.0</v>
      </c>
      <c r="C162" s="1" t="s">
        <v>529</v>
      </c>
      <c r="D162" s="1" t="s">
        <v>526</v>
      </c>
      <c r="E162" s="14" t="s">
        <v>532</v>
      </c>
      <c r="F162" s="14" t="s">
        <v>531</v>
      </c>
      <c r="G162" s="1" t="s">
        <v>39</v>
      </c>
      <c r="H162" s="15" t="s">
        <v>521</v>
      </c>
      <c r="J162" s="8" t="str">
        <f>IFERROR(__xludf.DUMMYFUNCTION("IF(ISBLANK(F162),""NA"", VLOOKUP(F162,IMPORTRANGE(""https://docs.google.com/spreadsheets/d/1EdCvim__xyxvoo9WoburDTzYylznTCOJBHcnu7eurMw/edit?gid=15948134#gid=15948134"", ""Purpose!A1:B1000""),2,FALSE()))"),"to evaluate model(s) functionally (e.g., accuracy)")</f>
        <v>to evaluate model(s) functionally (e.g., accuracy)</v>
      </c>
      <c r="K162" s="8" t="str">
        <f>IFERROR(__xludf.DUMMYFUNCTION("IF(ISBLANK(E162),""NA"", VLOOKUP(E162,IMPORTRANGE(""https://docs.google.com/spreadsheets/d/1EdCvim__xyxvoo9WoburDTzYylznTCOJBHcnu7eurMw/edit?gid=15948134#gid=15948134"", ""Technique!A1:B2000""),2,FALSE()))"),"compute metrics (i.e., minimun, maximum, average number of generations to learn boundary)")</f>
        <v>compute metrics (i.e., minimun, maximum, average number of generations to learn boundary)</v>
      </c>
      <c r="L162" s="8" t="str">
        <f>IFERROR(__xludf.DUMMYFUNCTION("IF(ISBLANK(D162),""NA"", VLOOKUP(D162,IMPORTRANGE(""https://docs.google.com/spreadsheets/d/1EdCvim__xyxvoo9WoburDTzYylznTCOJBHcnu7eurMw/edit?gid=15948134#gid=15948134"", ""Input!A1:B2000""),2,FALSE()))"),"vector representation (Linear-Time Temporal Logic) + genetic model(s)")</f>
        <v>vector representation (Linear-Time Temporal Logic) + genetic model(s)</v>
      </c>
    </row>
    <row r="163" hidden="1">
      <c r="A163" s="1" t="s">
        <v>516</v>
      </c>
      <c r="B163" s="1" t="s">
        <v>533</v>
      </c>
      <c r="C163" s="1" t="s">
        <v>529</v>
      </c>
      <c r="D163" s="1" t="s">
        <v>526</v>
      </c>
      <c r="E163" s="14" t="s">
        <v>534</v>
      </c>
      <c r="F163" s="14" t="s">
        <v>531</v>
      </c>
      <c r="G163" s="1" t="s">
        <v>39</v>
      </c>
      <c r="H163" s="15" t="s">
        <v>521</v>
      </c>
      <c r="J163" s="8" t="str">
        <f>IFERROR(__xludf.DUMMYFUNCTION("IF(ISBLANK(F163),""NA"", VLOOKUP(F163,IMPORTRANGE(""https://docs.google.com/spreadsheets/d/1EdCvim__xyxvoo9WoburDTzYylznTCOJBHcnu7eurMw/edit?gid=15948134#gid=15948134"", ""Purpose!A1:B1000""),2,FALSE()))"),"to evaluate model(s) functionally (e.g., accuracy)")</f>
        <v>to evaluate model(s) functionally (e.g., accuracy)</v>
      </c>
      <c r="K163" s="8" t="str">
        <f>IFERROR(__xludf.DUMMYFUNCTION("IF(ISBLANK(E163),""NA"", VLOOKUP(E163,IMPORTRANGE(""https://docs.google.com/spreadsheets/d/1EdCvim__xyxvoo9WoburDTzYylznTCOJBHcnu7eurMw/edit?gid=15948134#gid=15948134"", ""Technique!A1:B2000""),2,FALSE()))"),"compute training time (boundary definition)")</f>
        <v>compute training time (boundary definition)</v>
      </c>
      <c r="L163" s="8" t="str">
        <f>IFERROR(__xludf.DUMMYFUNCTION("IF(ISBLANK(D163),""NA"", VLOOKUP(D163,IMPORTRANGE(""https://docs.google.com/spreadsheets/d/1EdCvim__xyxvoo9WoburDTzYylznTCOJBHcnu7eurMw/edit?gid=15948134#gid=15948134"", ""Input!A1:B2000""),2,FALSE()))"),"vector representation (Linear-Time Temporal Logic) + genetic model(s)")</f>
        <v>vector representation (Linear-Time Temporal Logic) + genetic model(s)</v>
      </c>
    </row>
    <row r="164" hidden="1">
      <c r="A164" s="1" t="s">
        <v>516</v>
      </c>
      <c r="B164" s="1" t="s">
        <v>468</v>
      </c>
      <c r="C164" s="1" t="s">
        <v>535</v>
      </c>
      <c r="D164" s="1" t="s">
        <v>536</v>
      </c>
      <c r="E164" s="14" t="s">
        <v>537</v>
      </c>
      <c r="F164" s="14" t="s">
        <v>538</v>
      </c>
      <c r="G164" s="1" t="s">
        <v>39</v>
      </c>
      <c r="H164" s="15" t="s">
        <v>521</v>
      </c>
      <c r="J164" s="8" t="str">
        <f>IFERROR(__xludf.DUMMYFUNCTION("IF(ISBLANK(F164),""NA"", VLOOKUP(F164,IMPORTRANGE(""https://docs.google.com/spreadsheets/d/1EdCvim__xyxvoo9WoburDTzYylznTCOJBHcnu7eurMw/edit?gid=15948134#gid=15948134"", ""Purpose!A1:B1000""),2,FALSE()))"),"to evaluate model(s) functionally (e.g., accuracy)")</f>
        <v>to evaluate model(s) functionally (e.g., accuracy)</v>
      </c>
      <c r="K164" s="8" t="str">
        <f>IFERROR(__xludf.DUMMYFUNCTION("IF(ISBLANK(E164),""NA"", VLOOKUP(E164,IMPORTRANGE(""https://docs.google.com/spreadsheets/d/1EdCvim__xyxvoo9WoburDTzYylznTCOJBHcnu7eurMw/edit?gid=15948134#gid=15948134"", ""Technique!A1:B2000""),2,FALSE()))"),"compare with baseline model(s), state-of-the-art baselines non ml (pattern-based and tableaux)")</f>
        <v>compare with baseline model(s), state-of-the-art baselines non ml (pattern-based and tableaux)</v>
      </c>
      <c r="L164" s="8" t="str">
        <f>IFERROR(__xludf.DUMMYFUNCTION("IF(ISBLANK(D164),""NA"", VLOOKUP(D164,IMPORTRANGE(""https://docs.google.com/spreadsheets/d/1EdCvim__xyxvoo9WoburDTzYylznTCOJBHcnu7eurMw/edit?gid=15948134#gid=15948134"", ""Input!A1:B2000""),2,FALSE()))"),"computed metrics of multiple models")</f>
        <v>computed metrics of multiple models</v>
      </c>
    </row>
    <row r="165" hidden="1">
      <c r="A165" s="1" t="s">
        <v>516</v>
      </c>
      <c r="B165" s="1">
        <v>6.0</v>
      </c>
      <c r="C165" s="1" t="s">
        <v>539</v>
      </c>
      <c r="E165" s="14" t="s">
        <v>540</v>
      </c>
      <c r="F165" s="14" t="s">
        <v>541</v>
      </c>
      <c r="G165" s="1" t="s">
        <v>39</v>
      </c>
      <c r="H165" s="15" t="s">
        <v>521</v>
      </c>
      <c r="J165" s="8" t="str">
        <f>IFERROR(__xludf.DUMMYFUNCTION("IF(ISBLANK(F165),""NA"", VLOOKUP(F165,IMPORTRANGE(""https://docs.google.com/spreadsheets/d/1EdCvim__xyxvoo9WoburDTzYylznTCOJBHcnu7eurMw/edit?gid=15948134#gid=15948134"", ""Purpose!A1:B1000""),2,FALSE()))"),"to understand the model(s) sensitivity of different hyperparameters")</f>
        <v>to understand the model(s) sensitivity of different hyperparameters</v>
      </c>
      <c r="K165" s="8" t="str">
        <f>IFERROR(__xludf.DUMMYFUNCTION("IF(ISBLANK(E165),""NA"", VLOOKUP(E165,IMPORTRANGE(""https://docs.google.com/spreadsheets/d/1EdCvim__xyxvoo9WoburDTzYylznTCOJBHcnu7eurMw/edit?gid=15948134#gid=15948134"", ""Technique!A1:B2000""),2,FALSE()))"),"perform hyperparameter sensitivity analysis")</f>
        <v>perform hyperparameter sensitivity analysis</v>
      </c>
      <c r="L165" s="8" t="str">
        <f>IFERROR(__xludf.DUMMYFUNCTION("IF(ISBLANK(D165),""NA"", VLOOKUP(D165,IMPORTRANGE(""https://docs.google.com/spreadsheets/d/1EdCvim__xyxvoo9WoburDTzYylznTCOJBHcnu7eurMw/edit?gid=15948134#gid=15948134"", ""Input!A1:B2000""),2,FALSE()))"),"NA")</f>
        <v>NA</v>
      </c>
    </row>
    <row r="166" hidden="1">
      <c r="A166" s="1" t="s">
        <v>542</v>
      </c>
      <c r="B166" s="1" t="s">
        <v>342</v>
      </c>
      <c r="C166" s="1" t="s">
        <v>543</v>
      </c>
      <c r="D166" s="1" t="s">
        <v>544</v>
      </c>
      <c r="E166" s="16" t="s">
        <v>545</v>
      </c>
      <c r="F166" s="14" t="s">
        <v>546</v>
      </c>
      <c r="G166" s="1" t="s">
        <v>54</v>
      </c>
      <c r="H166" s="15" t="s">
        <v>547</v>
      </c>
      <c r="J166" s="8" t="str">
        <f>IFERROR(__xludf.DUMMYFUNCTION("IF(ISBLANK(F166),""NA"", VLOOKUP(F166,IMPORTRANGE(""https://docs.google.com/spreadsheets/d/1EdCvim__xyxvoo9WoburDTzYylznTCOJBHcnu7eurMw/edit?gid=15948134#gid=15948134"", ""Purpose!A1:B1000""),2,FALSE()))"),"to reduce input size while keeping the same prediction")</f>
        <v>to reduce input size while keeping the same prediction</v>
      </c>
      <c r="K166" s="8" t="str">
        <f>IFERROR(__xludf.DUMMYFUNCTION("IF(ISBLANK(E166),""NA"", VLOOKUP(E166,IMPORTRANGE(""https://docs.google.com/spreadsheets/d/1EdCvim__xyxvoo9WoburDTzYylznTCOJBHcnu7eurMw/edit?gid=15948134#gid=15948134"", ""Technique!A1:B2000""),2,FALSE()))"),"use delta debugging")</f>
        <v>use delta debugging</v>
      </c>
      <c r="L166" s="8" t="str">
        <f>IFERROR(__xludf.DUMMYFUNCTION("IF(ISBLANK(D166),""NA"", VLOOKUP(D166,IMPORTRANGE(""https://docs.google.com/spreadsheets/d/1EdCvim__xyxvoo9WoburDTzYylznTCOJBHcnu7eurMw/edit?gid=15948134#gid=15948134"", ""Input!A1:B2000""),2,FALSE()))"),"code data + deep learning model(s)")</f>
        <v>code data + deep learning model(s)</v>
      </c>
    </row>
    <row r="167" hidden="1">
      <c r="A167" s="1" t="s">
        <v>542</v>
      </c>
      <c r="B167" s="1" t="s">
        <v>268</v>
      </c>
      <c r="C167" s="1" t="s">
        <v>548</v>
      </c>
      <c r="D167" s="1" t="s">
        <v>549</v>
      </c>
      <c r="E167" s="16" t="s">
        <v>550</v>
      </c>
      <c r="F167" s="14" t="s">
        <v>551</v>
      </c>
      <c r="G167" s="1" t="s">
        <v>14</v>
      </c>
      <c r="H167" s="15" t="s">
        <v>547</v>
      </c>
      <c r="J167" s="8" t="str">
        <f>IFERROR(__xludf.DUMMYFUNCTION("IF(ISBLANK(F167),""NA"", VLOOKUP(F167,IMPORTRANGE(""https://docs.google.com/spreadsheets/d/1EdCvim__xyxvoo9WoburDTzYylznTCOJBHcnu7eurMw/edit?gid=15948134#gid=15948134"", ""Purpose!A1:B1000""),2,FALSE()))"),"to embed AST paths")</f>
        <v>to embed AST paths</v>
      </c>
      <c r="K167" s="8" t="str">
        <f>IFERROR(__xludf.DUMMYFUNCTION("IF(ISBLANK(E167),""NA"", VLOOKUP(E167,IMPORTRANGE(""https://docs.google.com/spreadsheets/d/1EdCvim__xyxvoo9WoburDTzYylznTCOJBHcnu7eurMw/edit?gid=15948134#gid=15948134"", ""Technique!A1:B2000""),2,FALSE()))"),"use Code2Seq")</f>
        <v>use Code2Seq</v>
      </c>
      <c r="L167" s="8" t="str">
        <f>IFERROR(__xludf.DUMMYFUNCTION("IF(ISBLANK(D167),""NA"", VLOOKUP(D167,IMPORTRANGE(""https://docs.google.com/spreadsheets/d/1EdCvim__xyxvoo9WoburDTzYylznTCOJBHcnu7eurMw/edit?gid=15948134#gid=15948134"", ""Input!A1:B2000""),2,FALSE()))"),"abstract syntax tree (paths between nodes)")</f>
        <v>abstract syntax tree (paths between nodes)</v>
      </c>
    </row>
    <row r="168" hidden="1">
      <c r="A168" s="1" t="s">
        <v>542</v>
      </c>
      <c r="B168" s="1" t="s">
        <v>299</v>
      </c>
      <c r="C168" s="1" t="s">
        <v>548</v>
      </c>
      <c r="D168" s="1" t="s">
        <v>549</v>
      </c>
      <c r="E168" s="16" t="s">
        <v>552</v>
      </c>
      <c r="F168" s="14" t="s">
        <v>551</v>
      </c>
      <c r="G168" s="1" t="s">
        <v>14</v>
      </c>
      <c r="H168" s="15" t="s">
        <v>547</v>
      </c>
      <c r="J168" s="8" t="str">
        <f>IFERROR(__xludf.DUMMYFUNCTION("IF(ISBLANK(F168),""NA"", VLOOKUP(F168,IMPORTRANGE(""https://docs.google.com/spreadsheets/d/1EdCvim__xyxvoo9WoburDTzYylznTCOJBHcnu7eurMw/edit?gid=15948134#gid=15948134"", ""Purpose!A1:B1000""),2,FALSE()))"),"to embed AST paths")</f>
        <v>to embed AST paths</v>
      </c>
      <c r="K168" s="8" t="str">
        <f>IFERROR(__xludf.DUMMYFUNCTION("IF(ISBLANK(E168),""NA"", VLOOKUP(E168,IMPORTRANGE(""https://docs.google.com/spreadsheets/d/1EdCvim__xyxvoo9WoburDTzYylznTCOJBHcnu7eurMw/edit?gid=15948134#gid=15948134"", ""Technique!A1:B2000""),2,FALSE()))"),"Use Code2Vec")</f>
        <v>Use Code2Vec</v>
      </c>
      <c r="L168" s="8" t="str">
        <f>IFERROR(__xludf.DUMMYFUNCTION("IF(ISBLANK(D168),""NA"", VLOOKUP(D168,IMPORTRANGE(""https://docs.google.com/spreadsheets/d/1EdCvim__xyxvoo9WoburDTzYylznTCOJBHcnu7eurMw/edit?gid=15948134#gid=15948134"", ""Input!A1:B2000""),2,FALSE()))"),"abstract syntax tree (paths between nodes)")</f>
        <v>abstract syntax tree (paths between nodes)</v>
      </c>
    </row>
    <row r="169" hidden="1">
      <c r="A169" s="1" t="s">
        <v>542</v>
      </c>
      <c r="B169" s="1" t="s">
        <v>301</v>
      </c>
      <c r="C169" s="1" t="s">
        <v>553</v>
      </c>
      <c r="D169" s="1" t="s">
        <v>554</v>
      </c>
      <c r="E169" s="16" t="s">
        <v>555</v>
      </c>
      <c r="F169" s="14" t="s">
        <v>556</v>
      </c>
      <c r="G169" s="1" t="s">
        <v>54</v>
      </c>
      <c r="H169" s="15" t="s">
        <v>547</v>
      </c>
      <c r="J169" s="8" t="str">
        <f>IFERROR(__xludf.DUMMYFUNCTION("IF(ISBLANK(F169),""NA"", VLOOKUP(F169,IMPORTRANGE(""https://docs.google.com/spreadsheets/d/1EdCvim__xyxvoo9WoburDTzYylznTCOJBHcnu7eurMw/edit?gid=15948134#gid=15948134"", ""Purpose!A1:B1000""),2,FALSE()))"),"to train a model for detection tasks (i.e., variable misuse)")</f>
        <v>to train a model for detection tasks (i.e., variable misuse)</v>
      </c>
      <c r="K169" s="8" t="str">
        <f>IFERROR(__xludf.DUMMYFUNCTION("IF(ISBLANK(E169),""NA"", VLOOKUP(E169,IMPORTRANGE(""https://docs.google.com/spreadsheets/d/1EdCvim__xyxvoo9WoburDTzYylznTCOJBHcnu7eurMw/edit?gid=15948134#gid=15948134"", ""Technique!A1:B2000""),2,FALSE()))"),"use recurrent neural networks, bidirectional")</f>
        <v>use recurrent neural networks, bidirectional</v>
      </c>
      <c r="L169" s="8" t="str">
        <f>IFERROR(__xludf.DUMMYFUNCTION("IF(ISBLANK(D169),""NA"", VLOOKUP(D169,IMPORTRANGE(""https://docs.google.com/spreadsheets/d/1EdCvim__xyxvoo9WoburDTzYylznTCOJBHcnu7eurMw/edit?gid=15948134#gid=15948134"", ""Input!A1:B2000""),2,FALSE()))"),"code data (variable misusage)")</f>
        <v>code data (variable misusage)</v>
      </c>
    </row>
    <row r="170" hidden="1">
      <c r="A170" s="1" t="s">
        <v>542</v>
      </c>
      <c r="B170" s="1" t="s">
        <v>557</v>
      </c>
      <c r="C170" s="1" t="s">
        <v>553</v>
      </c>
      <c r="D170" s="1" t="s">
        <v>554</v>
      </c>
      <c r="E170" s="16" t="s">
        <v>558</v>
      </c>
      <c r="F170" s="14" t="s">
        <v>556</v>
      </c>
      <c r="G170" s="1" t="s">
        <v>54</v>
      </c>
      <c r="H170" s="15" t="s">
        <v>547</v>
      </c>
      <c r="J170" s="8" t="str">
        <f>IFERROR(__xludf.DUMMYFUNCTION("IF(ISBLANK(F170),""NA"", VLOOKUP(F170,IMPORTRANGE(""https://docs.google.com/spreadsheets/d/1EdCvim__xyxvoo9WoburDTzYylznTCOJBHcnu7eurMw/edit?gid=15948134#gid=15948134"", ""Purpose!A1:B1000""),2,FALSE()))"),"to train a model for detection tasks (i.e., variable misuse)")</f>
        <v>to train a model for detection tasks (i.e., variable misuse)</v>
      </c>
      <c r="K170" s="8" t="str">
        <f>IFERROR(__xludf.DUMMYFUNCTION("IF(ISBLANK(E170),""NA"", VLOOKUP(E170,IMPORTRANGE(""https://docs.google.com/spreadsheets/d/1EdCvim__xyxvoo9WoburDTzYylznTCOJBHcnu7eurMw/edit?gid=15948134#gid=15948134"", ""Technique!A1:B2000""),2,FALSE()))"),"use transformer models")</f>
        <v>use transformer models</v>
      </c>
      <c r="L170" s="8" t="str">
        <f>IFERROR(__xludf.DUMMYFUNCTION("IF(ISBLANK(D170),""NA"", VLOOKUP(D170,IMPORTRANGE(""https://docs.google.com/spreadsheets/d/1EdCvim__xyxvoo9WoburDTzYylznTCOJBHcnu7eurMw/edit?gid=15948134#gid=15948134"", ""Input!A1:B2000""),2,FALSE()))"),"code data (variable misusage)")</f>
        <v>code data (variable misusage)</v>
      </c>
    </row>
    <row r="171" hidden="1">
      <c r="A171" s="1" t="s">
        <v>542</v>
      </c>
      <c r="B171" s="11">
        <v>41826.0</v>
      </c>
      <c r="C171" s="1" t="s">
        <v>559</v>
      </c>
      <c r="D171" s="1" t="s">
        <v>473</v>
      </c>
      <c r="E171" s="14" t="s">
        <v>560</v>
      </c>
      <c r="F171" s="14" t="s">
        <v>561</v>
      </c>
      <c r="G171" s="1" t="s">
        <v>44</v>
      </c>
      <c r="H171" s="15" t="s">
        <v>547</v>
      </c>
      <c r="J171" s="8" t="str">
        <f>IFERROR(__xludf.DUMMYFUNCTION("IF(ISBLANK(F171),""NA"", VLOOKUP(F171,IMPORTRANGE(""https://docs.google.com/spreadsheets/d/1EdCvim__xyxvoo9WoburDTzYylznTCOJBHcnu7eurMw/edit?gid=15948134#gid=15948134"", ""Purpose!A1:B1000""),2,FALSE()))"),"to collect data, textual data")</f>
        <v>to collect data, textual data</v>
      </c>
      <c r="K171" s="8" t="str">
        <f>IFERROR(__xludf.DUMMYFUNCTION("IF(ISBLANK(E171),""NA"", VLOOKUP(E171,IMPORTRANGE(""https://docs.google.com/spreadsheets/d/1EdCvim__xyxvoo9WoburDTzYylznTCOJBHcnu7eurMw/edit?gid=15948134#gid=15948134"", ""Technique!A1:B2000""),2,FALSE()))"),"sample data randomly")</f>
        <v>sample data randomly</v>
      </c>
      <c r="L171" s="8" t="str">
        <f>IFERROR(__xludf.DUMMYFUNCTION("IF(ISBLANK(D171),""NA"", VLOOKUP(D171,IMPORTRANGE(""https://docs.google.com/spreadsheets/d/1EdCvim__xyxvoo9WoburDTzYylznTCOJBHcnu7eurMw/edit?gid=15948134#gid=15948134"", ""Input!A1:B2000""),2,FALSE()))"),"data")</f>
        <v>data</v>
      </c>
    </row>
    <row r="172" hidden="1">
      <c r="A172" s="1" t="s">
        <v>542</v>
      </c>
      <c r="B172" s="1" t="s">
        <v>562</v>
      </c>
      <c r="C172" s="1" t="s">
        <v>563</v>
      </c>
      <c r="D172" s="1" t="s">
        <v>564</v>
      </c>
      <c r="E172" s="14" t="s">
        <v>565</v>
      </c>
      <c r="F172" s="14" t="s">
        <v>566</v>
      </c>
      <c r="G172" s="1" t="s">
        <v>39</v>
      </c>
      <c r="H172" s="15" t="s">
        <v>547</v>
      </c>
      <c r="J172" s="8" t="str">
        <f>IFERROR(__xludf.DUMMYFUNCTION("IF(ISBLANK(F172),""NA"", VLOOKUP(F172,IMPORTRANGE(""https://docs.google.com/spreadsheets/d/1EdCvim__xyxvoo9WoburDTzYylznTCOJBHcnu7eurMw/edit?gid=15948134#gid=15948134"", ""Purpose!A1:B1000""),2,FALSE()))"),"to evaluate model(s) functionally (e.g., accuracy)")</f>
        <v>to evaluate model(s) functionally (e.g., accuracy)</v>
      </c>
      <c r="K172" s="8" t="str">
        <f>IFERROR(__xludf.DUMMYFUNCTION("IF(ISBLANK(E172),""NA"", VLOOKUP(E172,IMPORTRANGE(""https://docs.google.com/spreadsheets/d/1EdCvim__xyxvoo9WoburDTzYylznTCOJBHcnu7eurMw/edit?gid=15948134#gid=15948134"", ""Technique!A1:B2000""),2,FALSE()))"),"compute metrics (i.e., size ratio reduction)")</f>
        <v>compute metrics (i.e., size ratio reduction)</v>
      </c>
      <c r="L172" s="8" t="str">
        <f>IFERROR(__xludf.DUMMYFUNCTION("IF(ISBLANK(D172),""NA"", VLOOKUP(D172,IMPORTRANGE(""https://docs.google.com/spreadsheets/d/1EdCvim__xyxvoo9WoburDTzYylznTCOJBHcnu7eurMw/edit?gid=15948134#gid=15948134"", ""Input!A1:B2000""),2,FALSE()))"),"code data + code data (reduced code)")</f>
        <v>code data + code data (reduced code)</v>
      </c>
    </row>
    <row r="173" hidden="1">
      <c r="A173" s="1" t="s">
        <v>542</v>
      </c>
      <c r="B173" s="1">
        <v>16.0</v>
      </c>
      <c r="C173" s="1" t="s">
        <v>567</v>
      </c>
      <c r="D173" s="1" t="s">
        <v>568</v>
      </c>
      <c r="E173" s="14" t="s">
        <v>569</v>
      </c>
      <c r="F173" s="14" t="s">
        <v>570</v>
      </c>
      <c r="G173" s="1" t="s">
        <v>39</v>
      </c>
      <c r="H173" s="15" t="s">
        <v>547</v>
      </c>
      <c r="J173" s="8" t="str">
        <f>IFERROR(__xludf.DUMMYFUNCTION("IF(ISBLANK(F173),""NA"", VLOOKUP(F173,IMPORTRANGE(""https://docs.google.com/spreadsheets/d/1EdCvim__xyxvoo9WoburDTzYylznTCOJBHcnu7eurMw/edit?gid=15948134#gid=15948134"", ""Purpose!A1:B1000""),2,FALSE()))"),"to evaluate model(s) functional and non-functional attributes")</f>
        <v>to evaluate model(s) functional and non-functional attributes</v>
      </c>
      <c r="K173" s="8" t="str">
        <f>IFERROR(__xludf.DUMMYFUNCTION("IF(ISBLANK(E173),""NA"", VLOOKUP(E173,IMPORTRANGE(""https://docs.google.com/spreadsheets/d/1EdCvim__xyxvoo9WoburDTzYylznTCOJBHcnu7eurMw/edit?gid=15948134#gid=15948134"", ""Technique!A1:B2000""),2,FALSE()))"),"compute execution time")</f>
        <v>compute execution time</v>
      </c>
      <c r="L173" s="8" t="str">
        <f>IFERROR(__xludf.DUMMYFUNCTION("IF(ISBLANK(D173),""NA"", VLOOKUP(D173,IMPORTRANGE(""https://docs.google.com/spreadsheets/d/1EdCvim__xyxvoo9WoburDTzYylznTCOJBHcnu7eurMw/edit?gid=15948134#gid=15948134"", ""Input!A1:B2000""),2,FALSE()))"),"data")</f>
        <v>data</v>
      </c>
    </row>
    <row r="174" hidden="1">
      <c r="A174" s="22" t="s">
        <v>571</v>
      </c>
      <c r="B174" s="1" t="s">
        <v>572</v>
      </c>
      <c r="C174" s="23" t="s">
        <v>573</v>
      </c>
      <c r="D174" s="23" t="s">
        <v>574</v>
      </c>
      <c r="E174" s="24" t="s">
        <v>575</v>
      </c>
      <c r="F174" s="25" t="s">
        <v>576</v>
      </c>
      <c r="G174" s="1" t="s">
        <v>54</v>
      </c>
      <c r="H174" s="20" t="s">
        <v>577</v>
      </c>
      <c r="J174" s="8" t="str">
        <f>IFERROR(__xludf.DUMMYFUNCTION("IF(ISBLANK(F174),""NA"", VLOOKUP(F174,IMPORTRANGE(""https://docs.google.com/spreadsheets/d/1EdCvim__xyxvoo9WoburDTzYylznTCOJBHcnu7eurMw/edit?gid=15948134#gid=15948134"", ""Purpose!A1:B1000""),2,FALSE()))"),"to group similar data together")</f>
        <v>to group similar data together</v>
      </c>
      <c r="K174" s="8" t="str">
        <f>IFERROR(__xludf.DUMMYFUNCTION("IF(ISBLANK(E174),""NA"", VLOOKUP(E174,IMPORTRANGE(""https://docs.google.com/spreadsheets/d/1EdCvim__xyxvoo9WoburDTzYylznTCOJBHcnu7eurMw/edit?gid=15948134#gid=15948134"", ""Technique!A1:B2000""),2,FALSE()))"),"clustering (grouping) by a similar characteristics")</f>
        <v>clustering (grouping) by a similar characteristics</v>
      </c>
      <c r="L174" s="8" t="str">
        <f>IFERROR(__xludf.DUMMYFUNCTION("IF(ISBLANK(D174),""NA"", VLOOKUP(D174,IMPORTRANGE(""https://docs.google.com/spreadsheets/d/1EdCvim__xyxvoo9WoburDTzYylznTCOJBHcnu7eurMw/edit?gid=15948134#gid=15948134"", ""Input!A1:B2000""),2,FALSE()))"),"code data (failing tests)")</f>
        <v>code data (failing tests)</v>
      </c>
    </row>
    <row r="175" hidden="1">
      <c r="A175" s="22" t="s">
        <v>571</v>
      </c>
      <c r="B175" s="1" t="s">
        <v>578</v>
      </c>
      <c r="C175" s="8" t="s">
        <v>579</v>
      </c>
      <c r="D175" s="8" t="s">
        <v>412</v>
      </c>
      <c r="E175" s="9" t="s">
        <v>580</v>
      </c>
      <c r="F175" s="9" t="s">
        <v>38</v>
      </c>
      <c r="G175" s="8" t="s">
        <v>39</v>
      </c>
      <c r="H175" s="10" t="s">
        <v>577</v>
      </c>
      <c r="J175" s="8" t="str">
        <f>IFERROR(__xludf.DUMMYFUNCTION("IF(ISBLANK(F175),""NA"", VLOOKUP(F175,IMPORTRANGE(""https://docs.google.com/spreadsheets/d/1EdCvim__xyxvoo9WoburDTzYylznTCOJBHcnu7eurMw/edit?gid=15948134#gid=15948134"", ""Purpose!A1:B1000""),2,FALSE()))"),"to evaluate model(s) functionally (e.g., accuracy)")</f>
        <v>to evaluate model(s) functionally (e.g., accuracy)</v>
      </c>
      <c r="K175" s="8" t="str">
        <f>IFERROR(__xludf.DUMMYFUNCTION("IF(ISBLANK(E175),""NA"", VLOOKUP(E175,IMPORTRANGE(""https://docs.google.com/spreadsheets/d/1EdCvim__xyxvoo9WoburDTzYylznTCOJBHcnu7eurMw/edit?gid=15948134#gid=15948134"", ""Technique!A1:B2000""),2,FALSE()))"),"compute classical metrics (i.e., Precision, Recall. F-meassure)")</f>
        <v>compute classical metrics (i.e., Precision, Recall. F-meassure)</v>
      </c>
      <c r="L175" s="8" t="str">
        <f>IFERROR(__xludf.DUMMYFUNCTION("IF(ISBLANK(D175),""NA"", VLOOKUP(D175,IMPORTRANGE(""https://docs.google.com/spreadsheets/d/1EdCvim__xyxvoo9WoburDTzYylznTCOJBHcnu7eurMw/edit?gid=15948134#gid=15948134"", ""Input!A1:B2000""),2,FALSE()))"),"data + model(s)")</f>
        <v>data + model(s)</v>
      </c>
    </row>
    <row r="176" hidden="1">
      <c r="A176" s="22" t="s">
        <v>571</v>
      </c>
      <c r="B176" s="1" t="s">
        <v>581</v>
      </c>
      <c r="C176" s="8" t="s">
        <v>579</v>
      </c>
      <c r="D176" s="1" t="s">
        <v>503</v>
      </c>
      <c r="E176" s="9" t="s">
        <v>582</v>
      </c>
      <c r="F176" s="9" t="s">
        <v>309</v>
      </c>
      <c r="G176" s="8" t="s">
        <v>39</v>
      </c>
      <c r="H176" s="10" t="s">
        <v>577</v>
      </c>
      <c r="J176" s="8" t="str">
        <f>IFERROR(__xludf.DUMMYFUNCTION("IF(ISBLANK(F176),""NA"", VLOOKUP(F176,IMPORTRANGE(""https://docs.google.com/spreadsheets/d/1EdCvim__xyxvoo9WoburDTzYylznTCOJBHcnu7eurMw/edit?gid=15948134#gid=15948134"", ""Purpose!A1:B1000""),2,FALSE()))"),"to evaluate model(s) functionally (e.g., accuracy)")</f>
        <v>to evaluate model(s) functionally (e.g., accuracy)</v>
      </c>
      <c r="K176" s="8" t="str">
        <f>IFERROR(__xludf.DUMMYFUNCTION("IF(ISBLANK(E176),""NA"", VLOOKUP(E176,IMPORTRANGE(""https://docs.google.com/spreadsheets/d/1EdCvim__xyxvoo9WoburDTzYylznTCOJBHcnu7eurMw/edit?gid=15948134#gid=15948134"", ""Technique!A1:B2000""),2,FALSE()))"),"compare with baseline model(s), state-of-the-art baselines shallow learning (ReBucket, MSeer)")</f>
        <v>compare with baseline model(s), state-of-the-art baselines shallow learning (ReBucket, MSeer)</v>
      </c>
      <c r="L176" s="8" t="str">
        <f>IFERROR(__xludf.DUMMYFUNCTION("IF(ISBLANK(D176),""NA"", VLOOKUP(D176,IMPORTRANGE(""https://docs.google.com/spreadsheets/d/1EdCvim__xyxvoo9WoburDTzYylznTCOJBHcnu7eurMw/edit?gid=15948134#gid=15948134"", ""Input!A1:B2000""),2,FALSE()))"),"model(s)")</f>
        <v>model(s)</v>
      </c>
    </row>
    <row r="177" hidden="1">
      <c r="A177" s="22" t="s">
        <v>571</v>
      </c>
      <c r="B177" s="1">
        <v>8.0</v>
      </c>
      <c r="C177" s="23" t="s">
        <v>583</v>
      </c>
      <c r="E177" s="25" t="s">
        <v>584</v>
      </c>
      <c r="F177" s="25" t="s">
        <v>585</v>
      </c>
      <c r="G177" s="1" t="s">
        <v>586</v>
      </c>
      <c r="H177" s="20" t="s">
        <v>577</v>
      </c>
      <c r="J177" s="8" t="str">
        <f>IFERROR(__xludf.DUMMYFUNCTION("IF(ISBLANK(F177),""NA"", VLOOKUP(F177,IMPORTRANGE(""https://docs.google.com/spreadsheets/d/1EdCvim__xyxvoo9WoburDTzYylznTCOJBHcnu7eurMw/edit?gid=15948134#gid=15948134"", ""Purpose!A1:B1000""),2,FALSE()))"),"to be able to replicate/reproduce a study, research")</f>
        <v>to be able to replicate/reproduce a study, research</v>
      </c>
      <c r="K177" s="8" t="str">
        <f>IFERROR(__xludf.DUMMYFUNCTION("IF(ISBLANK(E177),""NA"", VLOOKUP(E177,IMPORTRANGE(""https://docs.google.com/spreadsheets/d/1EdCvim__xyxvoo9WoburDTzYylznTCOJBHcnu7eurMw/edit?gid=15948134#gid=15948134"", ""Technique!A1:B2000""),2,FALSE()))"),"collect own data from open-source projects")</f>
        <v>collect own data from open-source projects</v>
      </c>
      <c r="L177" s="8" t="str">
        <f>IFERROR(__xludf.DUMMYFUNCTION("IF(ISBLANK(D177),""NA"", VLOOKUP(D177,IMPORTRANGE(""https://docs.google.com/spreadsheets/d/1EdCvim__xyxvoo9WoburDTzYylznTCOJBHcnu7eurMw/edit?gid=15948134#gid=15948134"", ""Input!A1:B2000""),2,FALSE()))"),"NA")</f>
        <v>NA</v>
      </c>
    </row>
    <row r="178" hidden="1">
      <c r="A178" s="22" t="s">
        <v>587</v>
      </c>
      <c r="B178" s="1">
        <v>2.0</v>
      </c>
      <c r="C178" s="8" t="s">
        <v>588</v>
      </c>
      <c r="D178" s="8" t="s">
        <v>33</v>
      </c>
      <c r="E178" s="12" t="s">
        <v>589</v>
      </c>
      <c r="F178" s="9" t="s">
        <v>590</v>
      </c>
      <c r="G178" s="1" t="s">
        <v>54</v>
      </c>
      <c r="H178" s="10" t="s">
        <v>372</v>
      </c>
      <c r="J178" s="8" t="str">
        <f>IFERROR(__xludf.DUMMYFUNCTION("IF(ISBLANK(F178),""NA"", VLOOKUP(F178,IMPORTRANGE(""https://docs.google.com/spreadsheets/d/1EdCvim__xyxvoo9WoburDTzYylznTCOJBHcnu7eurMw/edit?gid=15948134#gid=15948134"", ""Purpose!A1:B1000""),2,FALSE()))"),"to train a model for generation tasks (i.e., tests)")</f>
        <v>to train a model for generation tasks (i.e., tests)</v>
      </c>
      <c r="K178" s="8" t="str">
        <f>IFERROR(__xludf.DUMMYFUNCTION("IF(ISBLANK(E178),""NA"", VLOOKUP(E178,IMPORTRANGE(""https://docs.google.com/spreadsheets/d/1EdCvim__xyxvoo9WoburDTzYylznTCOJBHcnu7eurMw/edit?gid=15948134#gid=15948134"", ""Technique!A1:B2000""),2,FALSE()))"),"clustering, custom algorithm")</f>
        <v>clustering, custom algorithm</v>
      </c>
      <c r="L178" s="8" t="str">
        <f>IFERROR(__xludf.DUMMYFUNCTION("IF(ISBLANK(D178),""NA"", VLOOKUP(D178,IMPORTRANGE(""https://docs.google.com/spreadsheets/d/1EdCvim__xyxvoo9WoburDTzYylznTCOJBHcnu7eurMw/edit?gid=15948134#gid=15948134"", ""Input!A1:B2000""),2,FALSE()))"),"")</f>
        <v/>
      </c>
    </row>
    <row r="179" hidden="1">
      <c r="A179" s="22" t="s">
        <v>587</v>
      </c>
      <c r="B179" s="1">
        <v>1.3</v>
      </c>
      <c r="C179" s="8" t="s">
        <v>591</v>
      </c>
      <c r="D179" s="8" t="s">
        <v>592</v>
      </c>
      <c r="E179" s="12" t="s">
        <v>593</v>
      </c>
      <c r="F179" s="9" t="s">
        <v>594</v>
      </c>
      <c r="G179" s="1" t="s">
        <v>54</v>
      </c>
      <c r="H179" s="10" t="s">
        <v>372</v>
      </c>
      <c r="J179" s="8" t="str">
        <f>IFERROR(__xludf.DUMMYFUNCTION("IF(ISBLANK(F179),""NA"", VLOOKUP(F179,IMPORTRANGE(""https://docs.google.com/spreadsheets/d/1EdCvim__xyxvoo9WoburDTzYylznTCOJBHcnu7eurMw/edit?gid=15948134#gid=15948134"", ""Purpose!A1:B1000""),2,FALSE()))"),"to group similar data together with a common objective")</f>
        <v>to group similar data together with a common objective</v>
      </c>
      <c r="K179" s="8" t="str">
        <f>IFERROR(__xludf.DUMMYFUNCTION("IF(ISBLANK(E179),""NA"", VLOOKUP(E179,IMPORTRANGE(""https://docs.google.com/spreadsheets/d/1EdCvim__xyxvoo9WoburDTzYylznTCOJBHcnu7eurMw/edit?gid=15948134#gid=15948134"", ""Technique!A1:B2000""),2,FALSE()))"),"clustering")</f>
        <v>clustering</v>
      </c>
      <c r="L179" s="8" t="str">
        <f>IFERROR(__xludf.DUMMYFUNCTION("IF(ISBLANK(D179),""NA"", VLOOKUP(D179,IMPORTRANGE(""https://docs.google.com/spreadsheets/d/1EdCvim__xyxvoo9WoburDTzYylznTCOJBHcnu7eurMw/edit?gid=15948134#gid=15948134"", ""Input!A1:B2000""),2,FALSE()))"),"code data (Jsin request and response pairs)")</f>
        <v>code data (Jsin request and response pairs)</v>
      </c>
    </row>
    <row r="180" hidden="1">
      <c r="A180" s="22" t="s">
        <v>587</v>
      </c>
      <c r="B180" s="1">
        <v>4.0</v>
      </c>
      <c r="C180" s="8" t="s">
        <v>595</v>
      </c>
      <c r="D180" s="8" t="s">
        <v>33</v>
      </c>
      <c r="E180" s="9" t="s">
        <v>596</v>
      </c>
      <c r="F180" s="9" t="s">
        <v>597</v>
      </c>
      <c r="G180" s="8" t="s">
        <v>44</v>
      </c>
      <c r="H180" s="10" t="s">
        <v>372</v>
      </c>
      <c r="J180" s="8" t="str">
        <f>IFERROR(__xludf.DUMMYFUNCTION("IF(ISBLANK(F180),""NA"", VLOOKUP(F180,IMPORTRANGE(""https://docs.google.com/spreadsheets/d/1EdCvim__xyxvoo9WoburDTzYylznTCOJBHcnu7eurMw/edit?gid=15948134#gid=15948134"", ""Purpose!A1:B1000""),2,FALSE()))"),"to collect data")</f>
        <v>to collect data</v>
      </c>
      <c r="K180" s="8" t="str">
        <f>IFERROR(__xludf.DUMMYFUNCTION("IF(ISBLANK(E180),""NA"", VLOOKUP(E180,IMPORTRANGE(""https://docs.google.com/spreadsheets/d/1EdCvim__xyxvoo9WoburDTzYylznTCOJBHcnu7eurMw/edit?gid=15948134#gid=15948134"", ""Technique!A1:B2000""),2,FALSE()))"),"collect own data by interacting with applications and monitoring this interaction")</f>
        <v>collect own data by interacting with applications and monitoring this interaction</v>
      </c>
      <c r="L180" s="8" t="str">
        <f>IFERROR(__xludf.DUMMYFUNCTION("IF(ISBLANK(D180),""NA"", VLOOKUP(D180,IMPORTRANGE(""https://docs.google.com/spreadsheets/d/1EdCvim__xyxvoo9WoburDTzYylznTCOJBHcnu7eurMw/edit?gid=15948134#gid=15948134"", ""Input!A1:B2000""),2,FALSE()))"),"")</f>
        <v/>
      </c>
    </row>
    <row r="181" hidden="1">
      <c r="A181" s="22" t="s">
        <v>598</v>
      </c>
      <c r="B181" s="1" t="s">
        <v>202</v>
      </c>
      <c r="C181" s="8" t="s">
        <v>599</v>
      </c>
      <c r="D181" s="8" t="s">
        <v>600</v>
      </c>
      <c r="E181" s="9" t="s">
        <v>601</v>
      </c>
      <c r="F181" s="9" t="s">
        <v>602</v>
      </c>
      <c r="G181" s="8" t="s">
        <v>44</v>
      </c>
      <c r="H181" s="10" t="s">
        <v>603</v>
      </c>
      <c r="J181" s="8" t="str">
        <f>IFERROR(__xludf.DUMMYFUNCTION("IF(ISBLANK(F181),""NA"", VLOOKUP(F181,IMPORTRANGE(""https://docs.google.com/spreadsheets/d/1EdCvim__xyxvoo9WoburDTzYylznTCOJBHcnu7eurMw/edit?gid=15948134#gid=15948134"", ""Purpose!A1:B1000""),2,FALSE()))"),"to collect data, numeric data")</f>
        <v>to collect data, numeric data</v>
      </c>
      <c r="K181" s="8" t="str">
        <f>IFERROR(__xludf.DUMMYFUNCTION("IF(ISBLANK(E181),""NA"", VLOOKUP(E181,IMPORTRANGE(""https://docs.google.com/spreadsheets/d/1EdCvim__xyxvoo9WoburDTzYylznTCOJBHcnu7eurMw/edit?gid=15948134#gid=15948134"", ""Technique!A1:B2000""),2,FALSE()))"),"sample data using Equidistant Random Breakdown")</f>
        <v>sample data using Equidistant Random Breakdown</v>
      </c>
      <c r="L181" s="8" t="str">
        <f>IFERROR(__xludf.DUMMYFUNCTION("IF(ISBLANK(D181),""NA"", VLOOKUP(D181,IMPORTRANGE(""https://docs.google.com/spreadsheets/d/1EdCvim__xyxvoo9WoburDTzYylznTCOJBHcnu7eurMw/edit?gid=15948134#gid=15948134"", ""Input!A1:B2000""),2,FALSE()))"),"numeric data (measurement performance points)")</f>
        <v>numeric data (measurement performance points)</v>
      </c>
    </row>
    <row r="182" hidden="1">
      <c r="A182" s="22" t="s">
        <v>598</v>
      </c>
      <c r="B182" s="1" t="s">
        <v>604</v>
      </c>
      <c r="C182" s="8" t="s">
        <v>605</v>
      </c>
      <c r="D182" s="8" t="s">
        <v>600</v>
      </c>
      <c r="E182" s="9" t="s">
        <v>606</v>
      </c>
      <c r="F182" s="9" t="s">
        <v>602</v>
      </c>
      <c r="G182" s="8" t="s">
        <v>44</v>
      </c>
      <c r="H182" s="10" t="s">
        <v>603</v>
      </c>
      <c r="J182" s="8" t="str">
        <f>IFERROR(__xludf.DUMMYFUNCTION("IF(ISBLANK(F182),""NA"", VLOOKUP(F182,IMPORTRANGE(""https://docs.google.com/spreadsheets/d/1EdCvim__xyxvoo9WoburDTzYylznTCOJBHcnu7eurMw/edit?gid=15948134#gid=15948134"", ""Purpose!A1:B1000""),2,FALSE()))"),"to collect data, numeric data")</f>
        <v>to collect data, numeric data</v>
      </c>
      <c r="K182" s="8" t="str">
        <f>IFERROR(__xludf.DUMMYFUNCTION("IF(ISBLANK(E182),""NA"", VLOOKUP(E182,IMPORTRANGE(""https://docs.google.com/spreadsheets/d/1EdCvim__xyxvoo9WoburDTzYylznTCOJBHcnu7eurMw/edit?gid=15948134#gid=15948134"", ""Technique!A1:B2000""),2,FALSE()))"),"sample data using Adaptive Equidistant Breakdown")</f>
        <v>sample data using Adaptive Equidistant Breakdown</v>
      </c>
      <c r="L182" s="8" t="str">
        <f>IFERROR(__xludf.DUMMYFUNCTION("IF(ISBLANK(D182),""NA"", VLOOKUP(D182,IMPORTRANGE(""https://docs.google.com/spreadsheets/d/1EdCvim__xyxvoo9WoburDTzYylznTCOJBHcnu7eurMw/edit?gid=15948134#gid=15948134"", ""Input!A1:B2000""),2,FALSE()))"),"numeric data (measurement performance points)")</f>
        <v>numeric data (measurement performance points)</v>
      </c>
    </row>
    <row r="183" hidden="1">
      <c r="A183" s="22" t="s">
        <v>598</v>
      </c>
      <c r="B183" s="1" t="s">
        <v>607</v>
      </c>
      <c r="C183" s="8" t="s">
        <v>608</v>
      </c>
      <c r="D183" s="8" t="s">
        <v>600</v>
      </c>
      <c r="E183" s="9" t="s">
        <v>609</v>
      </c>
      <c r="F183" s="9" t="s">
        <v>602</v>
      </c>
      <c r="G183" s="8" t="s">
        <v>44</v>
      </c>
      <c r="H183" s="10" t="s">
        <v>603</v>
      </c>
      <c r="J183" s="8" t="str">
        <f>IFERROR(__xludf.DUMMYFUNCTION("IF(ISBLANK(F183),""NA"", VLOOKUP(F183,IMPORTRANGE(""https://docs.google.com/spreadsheets/d/1EdCvim__xyxvoo9WoburDTzYylznTCOJBHcnu7eurMw/edit?gid=15948134#gid=15948134"", ""Purpose!A1:B1000""),2,FALSE()))"),"to collect data, numeric data")</f>
        <v>to collect data, numeric data</v>
      </c>
      <c r="K183" s="8" t="str">
        <f>IFERROR(__xludf.DUMMYFUNCTION("IF(ISBLANK(E183),""NA"", VLOOKUP(E183,IMPORTRANGE(""https://docs.google.com/spreadsheets/d/1EdCvim__xyxvoo9WoburDTzYylznTCOJBHcnu7eurMw/edit?gid=15948134#gid=15948134"", ""Technique!A1:B2000""),2,FALSE()))"),"sample data using Adaptive Random Breakdown")</f>
        <v>sample data using Adaptive Random Breakdown</v>
      </c>
      <c r="L183" s="8" t="str">
        <f>IFERROR(__xludf.DUMMYFUNCTION("IF(ISBLANK(D183),""NA"", VLOOKUP(D183,IMPORTRANGE(""https://docs.google.com/spreadsheets/d/1EdCvim__xyxvoo9WoburDTzYylznTCOJBHcnu7eurMw/edit?gid=15948134#gid=15948134"", ""Input!A1:B2000""),2,FALSE()))"),"numeric data (measurement performance points)")</f>
        <v>numeric data (measurement performance points)</v>
      </c>
    </row>
    <row r="184" hidden="1">
      <c r="A184" s="22" t="s">
        <v>598</v>
      </c>
      <c r="B184" s="1" t="s">
        <v>610</v>
      </c>
      <c r="C184" s="8" t="s">
        <v>611</v>
      </c>
      <c r="D184" s="8" t="s">
        <v>612</v>
      </c>
      <c r="E184" s="9" t="s">
        <v>613</v>
      </c>
      <c r="F184" s="14" t="s">
        <v>614</v>
      </c>
      <c r="G184" s="1" t="s">
        <v>39</v>
      </c>
      <c r="H184" s="10" t="s">
        <v>603</v>
      </c>
      <c r="J184" s="8" t="str">
        <f>IFERROR(__xludf.DUMMYFUNCTION("IF(ISBLANK(F184),""NA"", VLOOKUP(F184,IMPORTRANGE(""https://docs.google.com/spreadsheets/d/1EdCvim__xyxvoo9WoburDTzYylznTCOJBHcnu7eurMw/edit?gid=15948134#gid=15948134"", ""Purpose!A1:B1000""),2,FALSE()))"),"to evaluate model(s) functionally (e.g., accuracy)")</f>
        <v>to evaluate model(s) functionally (e.g., accuracy)</v>
      </c>
      <c r="K184" s="8" t="str">
        <f>IFERROR(__xludf.DUMMYFUNCTION("IF(ISBLANK(E184),""NA"", VLOOKUP(E184,IMPORTRANGE(""https://docs.google.com/spreadsheets/d/1EdCvim__xyxvoo9WoburDTzYylznTCOJBHcnu7eurMw/edit?gid=15948134#gid=15948134"", ""Technique!A1:B2000""),2,FALSE()))"),"use Random Validation Set + average relative error")</f>
        <v>use Random Validation Set + average relative error</v>
      </c>
      <c r="L184" s="8" t="str">
        <f>IFERROR(__xludf.DUMMYFUNCTION("IF(ISBLANK(D184),""NA"", VLOOKUP(D184,IMPORTRANGE(""https://docs.google.com/spreadsheets/d/1EdCvim__xyxvoo9WoburDTzYylznTCOJBHcnu7eurMw/edit?gid=15948134#gid=15948134"", ""Input!A1:B2000""),2,FALSE()))"),"model(s)' output")</f>
        <v>model(s)' output</v>
      </c>
    </row>
    <row r="185" hidden="1">
      <c r="A185" s="22" t="s">
        <v>598</v>
      </c>
      <c r="B185" s="1" t="s">
        <v>92</v>
      </c>
      <c r="C185" s="8" t="s">
        <v>611</v>
      </c>
      <c r="D185" s="8" t="s">
        <v>612</v>
      </c>
      <c r="E185" s="9" t="s">
        <v>615</v>
      </c>
      <c r="F185" s="14" t="s">
        <v>614</v>
      </c>
      <c r="G185" s="1" t="s">
        <v>39</v>
      </c>
      <c r="H185" s="10" t="s">
        <v>603</v>
      </c>
      <c r="J185" s="8" t="str">
        <f>IFERROR(__xludf.DUMMYFUNCTION("IF(ISBLANK(F185),""NA"", VLOOKUP(F185,IMPORTRANGE(""https://docs.google.com/spreadsheets/d/1EdCvim__xyxvoo9WoburDTzYylznTCOJBHcnu7eurMw/edit?gid=15948134#gid=15948134"", ""Purpose!A1:B1000""),2,FALSE()))"),"to evaluate model(s) functionally (e.g., accuracy)")</f>
        <v>to evaluate model(s) functionally (e.g., accuracy)</v>
      </c>
      <c r="K185" s="8" t="str">
        <f>IFERROR(__xludf.DUMMYFUNCTION("IF(ISBLANK(E185),""NA"", VLOOKUP(E185,IMPORTRANGE(""https://docs.google.com/spreadsheets/d/1EdCvim__xyxvoo9WoburDTzYylznTCOJBHcnu7eurMw/edit?gid=15948134#gid=15948134"", ""Technique!A1:B2000""),2,FALSE()))"),"use Dynamic Sector Validation + prediction error")</f>
        <v>use Dynamic Sector Validation + prediction error</v>
      </c>
      <c r="L185" s="8" t="str">
        <f>IFERROR(__xludf.DUMMYFUNCTION("IF(ISBLANK(D185),""NA"", VLOOKUP(D185,IMPORTRANGE(""https://docs.google.com/spreadsheets/d/1EdCvim__xyxvoo9WoburDTzYylznTCOJBHcnu7eurMw/edit?gid=15948134#gid=15948134"", ""Input!A1:B2000""),2,FALSE()))"),"model(s)' output")</f>
        <v>model(s)' output</v>
      </c>
    </row>
    <row r="186" hidden="1">
      <c r="A186" s="22" t="s">
        <v>598</v>
      </c>
      <c r="B186" s="1" t="s">
        <v>616</v>
      </c>
      <c r="C186" s="8" t="s">
        <v>617</v>
      </c>
      <c r="D186" s="8" t="s">
        <v>600</v>
      </c>
      <c r="E186" s="12" t="s">
        <v>618</v>
      </c>
      <c r="F186" s="9" t="s">
        <v>619</v>
      </c>
      <c r="G186" s="8" t="s">
        <v>54</v>
      </c>
      <c r="H186" s="10" t="s">
        <v>603</v>
      </c>
      <c r="J186" s="8" t="str">
        <f>IFERROR(__xludf.DUMMYFUNCTION("IF(ISBLANK(F186),""NA"", VLOOKUP(F186,IMPORTRANGE(""https://docs.google.com/spreadsheets/d/1EdCvim__xyxvoo9WoburDTzYylznTCOJBHcnu7eurMw/edit?gid=15948134#gid=15948134"", ""Purpose!A1:B1000""),2,FALSE()))"),"to train a model for prediction tasks (i.e., predict performance)")</f>
        <v>to train a model for prediction tasks (i.e., predict performance)</v>
      </c>
      <c r="K186" s="8" t="str">
        <f>IFERROR(__xludf.DUMMYFUNCTION("IF(ISBLANK(E186),""NA"", VLOOKUP(E186,IMPORTRANGE(""https://docs.google.com/spreadsheets/d/1EdCvim__xyxvoo9WoburDTzYylznTCOJBHcnu7eurMw/edit?gid=15948134#gid=15948134"", ""Technique!A1:B2000""),2,FALSE()))"),"use Multivariate Adaptive Regression Splines")</f>
        <v>use Multivariate Adaptive Regression Splines</v>
      </c>
      <c r="L186" s="8" t="str">
        <f>IFERROR(__xludf.DUMMYFUNCTION("IF(ISBLANK(D186),""NA"", VLOOKUP(D186,IMPORTRANGE(""https://docs.google.com/spreadsheets/d/1EdCvim__xyxvoo9WoburDTzYylznTCOJBHcnu7eurMw/edit?gid=15948134#gid=15948134"", ""Input!A1:B2000""),2,FALSE()))"),"numeric data (measurement performance points)")</f>
        <v>numeric data (measurement performance points)</v>
      </c>
    </row>
    <row r="187" hidden="1">
      <c r="A187" s="22" t="s">
        <v>598</v>
      </c>
      <c r="B187" s="1" t="s">
        <v>620</v>
      </c>
      <c r="C187" s="8" t="s">
        <v>621</v>
      </c>
      <c r="D187" s="8" t="s">
        <v>600</v>
      </c>
      <c r="E187" s="16" t="s">
        <v>622</v>
      </c>
      <c r="F187" s="9" t="s">
        <v>619</v>
      </c>
      <c r="G187" s="8" t="s">
        <v>54</v>
      </c>
      <c r="H187" s="10" t="s">
        <v>603</v>
      </c>
      <c r="J187" s="8" t="str">
        <f>IFERROR(__xludf.DUMMYFUNCTION("IF(ISBLANK(F187),""NA"", VLOOKUP(F187,IMPORTRANGE(""https://docs.google.com/spreadsheets/d/1EdCvim__xyxvoo9WoburDTzYylznTCOJBHcnu7eurMw/edit?gid=15948134#gid=15948134"", ""Purpose!A1:B1000""),2,FALSE()))"),"to train a model for prediction tasks (i.e., predict performance)")</f>
        <v>to train a model for prediction tasks (i.e., predict performance)</v>
      </c>
      <c r="K187" s="8" t="str">
        <f>IFERROR(__xludf.DUMMYFUNCTION("IF(ISBLANK(E187),""NA"", VLOOKUP(E187,IMPORTRANGE(""https://docs.google.com/spreadsheets/d/1EdCvim__xyxvoo9WoburDTzYylznTCOJBHcnu7eurMw/edit?gid=15948134#gid=15948134"", ""Technique!A1:B2000""),2,FALSE()))"),"use CART tree")</f>
        <v>use CART tree</v>
      </c>
      <c r="L187" s="8" t="str">
        <f>IFERROR(__xludf.DUMMYFUNCTION("IF(ISBLANK(D187),""NA"", VLOOKUP(D187,IMPORTRANGE(""https://docs.google.com/spreadsheets/d/1EdCvim__xyxvoo9WoburDTzYylznTCOJBHcnu7eurMw/edit?gid=15948134#gid=15948134"", ""Input!A1:B2000""),2,FALSE()))"),"numeric data (measurement performance points)")</f>
        <v>numeric data (measurement performance points)</v>
      </c>
    </row>
    <row r="188" hidden="1">
      <c r="A188" s="22" t="s">
        <v>598</v>
      </c>
      <c r="B188" s="1" t="s">
        <v>623</v>
      </c>
      <c r="C188" s="8" t="s">
        <v>624</v>
      </c>
      <c r="D188" s="8" t="s">
        <v>600</v>
      </c>
      <c r="E188" s="12" t="s">
        <v>625</v>
      </c>
      <c r="F188" s="9" t="s">
        <v>619</v>
      </c>
      <c r="G188" s="8" t="s">
        <v>54</v>
      </c>
      <c r="H188" s="10" t="s">
        <v>603</v>
      </c>
      <c r="J188" s="8" t="str">
        <f>IFERROR(__xludf.DUMMYFUNCTION("IF(ISBLANK(F188),""NA"", VLOOKUP(F188,IMPORTRANGE(""https://docs.google.com/spreadsheets/d/1EdCvim__xyxvoo9WoburDTzYylznTCOJBHcnu7eurMw/edit?gid=15948134#gid=15948134"", ""Purpose!A1:B1000""),2,FALSE()))"),"to train a model for prediction tasks (i.e., predict performance)")</f>
        <v>to train a model for prediction tasks (i.e., predict performance)</v>
      </c>
      <c r="K188" s="8" t="str">
        <f>IFERROR(__xludf.DUMMYFUNCTION("IF(ISBLANK(E188),""NA"", VLOOKUP(E188,IMPORTRANGE(""https://docs.google.com/spreadsheets/d/1EdCvim__xyxvoo9WoburDTzYylznTCOJBHcnu7eurMw/edit?gid=15948134#gid=15948134"", ""Technique!A1:B2000""),2,FALSE()))"),"use genetic programming")</f>
        <v>use genetic programming</v>
      </c>
      <c r="L188" s="8" t="str">
        <f>IFERROR(__xludf.DUMMYFUNCTION("IF(ISBLANK(D188),""NA"", VLOOKUP(D188,IMPORTRANGE(""https://docs.google.com/spreadsheets/d/1EdCvim__xyxvoo9WoburDTzYylznTCOJBHcnu7eurMw/edit?gid=15948134#gid=15948134"", ""Input!A1:B2000""),2,FALSE()))"),"numeric data (measurement performance points)")</f>
        <v>numeric data (measurement performance points)</v>
      </c>
    </row>
    <row r="189" hidden="1">
      <c r="A189" s="22" t="s">
        <v>598</v>
      </c>
      <c r="B189" s="1" t="s">
        <v>626</v>
      </c>
      <c r="C189" s="8" t="s">
        <v>627</v>
      </c>
      <c r="D189" s="8" t="s">
        <v>600</v>
      </c>
      <c r="E189" s="12" t="s">
        <v>628</v>
      </c>
      <c r="F189" s="9" t="s">
        <v>619</v>
      </c>
      <c r="G189" s="8" t="s">
        <v>54</v>
      </c>
      <c r="H189" s="10" t="s">
        <v>603</v>
      </c>
      <c r="J189" s="8" t="str">
        <f>IFERROR(__xludf.DUMMYFUNCTION("IF(ISBLANK(F189),""NA"", VLOOKUP(F189,IMPORTRANGE(""https://docs.google.com/spreadsheets/d/1EdCvim__xyxvoo9WoburDTzYylznTCOJBHcnu7eurMw/edit?gid=15948134#gid=15948134"", ""Purpose!A1:B1000""),2,FALSE()))"),"to train a model for prediction tasks (i.e., predict performance)")</f>
        <v>to train a model for prediction tasks (i.e., predict performance)</v>
      </c>
      <c r="K189" s="8" t="str">
        <f>IFERROR(__xludf.DUMMYFUNCTION("IF(ISBLANK(E189),""NA"", VLOOKUP(E189,IMPORTRANGE(""https://docs.google.com/spreadsheets/d/1EdCvim__xyxvoo9WoburDTzYylznTCOJBHcnu7eurMw/edit?gid=15948134#gid=15948134"", ""Technique!A1:B2000""),2,FALSE()))"),"use Kriging")</f>
        <v>use Kriging</v>
      </c>
      <c r="L189" s="8" t="str">
        <f>IFERROR(__xludf.DUMMYFUNCTION("IF(ISBLANK(D189),""NA"", VLOOKUP(D189,IMPORTRANGE(""https://docs.google.com/spreadsheets/d/1EdCvim__xyxvoo9WoburDTzYylznTCOJBHcnu7eurMw/edit?gid=15948134#gid=15948134"", ""Input!A1:B2000""),2,FALSE()))"),"numeric data (measurement performance points)")</f>
        <v>numeric data (measurement performance points)</v>
      </c>
    </row>
    <row r="190" hidden="1">
      <c r="A190" s="22" t="s">
        <v>598</v>
      </c>
      <c r="B190" s="1" t="s">
        <v>629</v>
      </c>
      <c r="C190" s="8" t="s">
        <v>627</v>
      </c>
      <c r="D190" s="8" t="s">
        <v>412</v>
      </c>
      <c r="E190" s="14" t="s">
        <v>630</v>
      </c>
      <c r="F190" s="9" t="s">
        <v>309</v>
      </c>
      <c r="G190" s="8" t="s">
        <v>39</v>
      </c>
      <c r="H190" s="10" t="s">
        <v>603</v>
      </c>
      <c r="J190" s="8" t="str">
        <f>IFERROR(__xludf.DUMMYFUNCTION("IF(ISBLANK(F190),""NA"", VLOOKUP(F190,IMPORTRANGE(""https://docs.google.com/spreadsheets/d/1EdCvim__xyxvoo9WoburDTzYylznTCOJBHcnu7eurMw/edit?gid=15948134#gid=15948134"", ""Purpose!A1:B1000""),2,FALSE()))"),"to evaluate model(s) functionally (e.g., accuracy)")</f>
        <v>to evaluate model(s) functionally (e.g., accuracy)</v>
      </c>
      <c r="K190" s="8" t="str">
        <f>IFERROR(__xludf.DUMMYFUNCTION("IF(ISBLANK(E190),""NA"", VLOOKUP(E190,IMPORTRANGE(""https://docs.google.com/spreadsheets/d/1EdCvim__xyxvoo9WoburDTzYylznTCOJBHcnu7eurMw/edit?gid=15948134#gid=15948134"", ""Technique!A1:B2000""),2,FALSE()))"),"compute metrics (i.e., mean relative error, used measurement points)")</f>
        <v>compute metrics (i.e., mean relative error, used measurement points)</v>
      </c>
      <c r="L190" s="8" t="str">
        <f>IFERROR(__xludf.DUMMYFUNCTION("IF(ISBLANK(D190),""NA"", VLOOKUP(D190,IMPORTRANGE(""https://docs.google.com/spreadsheets/d/1EdCvim__xyxvoo9WoburDTzYylznTCOJBHcnu7eurMw/edit?gid=15948134#gid=15948134"", ""Input!A1:B2000""),2,FALSE()))"),"data + model(s)")</f>
        <v>data + model(s)</v>
      </c>
    </row>
    <row r="191" hidden="1">
      <c r="A191" s="22" t="s">
        <v>598</v>
      </c>
      <c r="B191" s="1" t="s">
        <v>631</v>
      </c>
      <c r="C191" s="1" t="s">
        <v>632</v>
      </c>
      <c r="D191" s="1" t="s">
        <v>633</v>
      </c>
      <c r="E191" s="14" t="s">
        <v>634</v>
      </c>
      <c r="F191" s="14" t="s">
        <v>635</v>
      </c>
      <c r="G191" s="1" t="s">
        <v>39</v>
      </c>
      <c r="H191" s="15" t="s">
        <v>603</v>
      </c>
      <c r="J191" s="8" t="str">
        <f>IFERROR(__xludf.DUMMYFUNCTION("IF(ISBLANK(F191),""NA"", VLOOKUP(F191,IMPORTRANGE(""https://docs.google.com/spreadsheets/d/1EdCvim__xyxvoo9WoburDTzYylznTCOJBHcnu7eurMw/edit?gid=15948134#gid=15948134"", ""Purpose!A1:B1000""),2,FALSE()))"),"to evaluate model(s) functionally (e.g., accuracy)")</f>
        <v>to evaluate model(s) functionally (e.g., accuracy)</v>
      </c>
      <c r="K191" s="8" t="str">
        <f>IFERROR(__xludf.DUMMYFUNCTION("IF(ISBLANK(E191),""NA"", VLOOKUP(E191,IMPORTRANGE(""https://docs.google.com/spreadsheets/d/1EdCvim__xyxvoo9WoburDTzYylznTCOJBHcnu7eurMw/edit?gid=15948134#gid=15948134"", ""Technique!A1:B2000""),2,FALSE()))"),"compute metrics (i.e., Measure highest error (HE), Measure predictions with error of less 15% Measure predictions with error of less 30%)")</f>
        <v>compute metrics (i.e., Measure highest error (HE), Measure predictions with error of less 15% Measure predictions with error of less 30%)</v>
      </c>
      <c r="L191" s="8" t="str">
        <f>IFERROR(__xludf.DUMMYFUNCTION("IF(ISBLANK(D191),""NA"", VLOOKUP(D191,IMPORTRANGE(""https://docs.google.com/spreadsheets/d/1EdCvim__xyxvoo9WoburDTzYylznTCOJBHcnu7eurMw/edit?gid=15948134#gid=15948134"", ""Input!A1:B2000""),2,FALSE()))"),"data (test set) + statistical model(s)")</f>
        <v>data (test set) + statistical model(s)</v>
      </c>
    </row>
    <row r="192" hidden="1">
      <c r="A192" s="26" t="s">
        <v>636</v>
      </c>
      <c r="B192" s="1">
        <v>1.0</v>
      </c>
      <c r="C192" s="8" t="s">
        <v>637</v>
      </c>
      <c r="D192" s="8" t="s">
        <v>33</v>
      </c>
      <c r="E192" s="12" t="s">
        <v>638</v>
      </c>
      <c r="F192" s="9" t="s">
        <v>639</v>
      </c>
      <c r="G192" s="1" t="s">
        <v>54</v>
      </c>
      <c r="H192" s="10" t="s">
        <v>640</v>
      </c>
      <c r="J192" s="8" t="str">
        <f>IFERROR(__xludf.DUMMYFUNCTION("IF(ISBLANK(F192),""NA"", VLOOKUP(F192,IMPORTRANGE(""https://docs.google.com/spreadsheets/d/1EdCvim__xyxvoo9WoburDTzYylznTCOJBHcnu7eurMw/edit?gid=15948134#gid=15948134"", ""Purpose!A1:B1000""),2,FALSE()))"),"to identify relevant features")</f>
        <v>to identify relevant features</v>
      </c>
      <c r="K192" s="8" t="str">
        <f>IFERROR(__xludf.DUMMYFUNCTION("IF(ISBLANK(E192),""NA"", VLOOKUP(E192,IMPORTRANGE(""https://docs.google.com/spreadsheets/d/1EdCvim__xyxvoo9WoburDTzYylznTCOJBHcnu7eurMw/edit?gid=15948134#gid=15948134"", ""Technique!A1:B2000""),2,FALSE()))"),"use random forest + use logistic regression + use Naive Bayes + use support vector machines + use decision tree + use AdaBoost")</f>
        <v>use random forest + use logistic regression + use Naive Bayes + use support vector machines + use decision tree + use AdaBoost</v>
      </c>
      <c r="L192" s="8" t="str">
        <f>IFERROR(__xludf.DUMMYFUNCTION("IF(ISBLANK(D192),""NA"", VLOOKUP(D192,IMPORTRANGE(""https://docs.google.com/spreadsheets/d/1EdCvim__xyxvoo9WoburDTzYylznTCOJBHcnu7eurMw/edit?gid=15948134#gid=15948134"", ""Input!A1:B2000""),2,FALSE()))"),"")</f>
        <v/>
      </c>
    </row>
    <row r="193" hidden="1">
      <c r="A193" s="26" t="s">
        <v>636</v>
      </c>
      <c r="B193" s="1">
        <v>2.0</v>
      </c>
      <c r="C193" s="8" t="s">
        <v>641</v>
      </c>
      <c r="D193" s="8" t="s">
        <v>33</v>
      </c>
      <c r="E193" s="9" t="s">
        <v>642</v>
      </c>
      <c r="F193" s="14" t="s">
        <v>90</v>
      </c>
      <c r="G193" s="8" t="s">
        <v>91</v>
      </c>
      <c r="H193" s="10" t="s">
        <v>640</v>
      </c>
      <c r="J193" s="8" t="str">
        <f>IFERROR(__xludf.DUMMYFUNCTION("IF(ISBLANK(F193),""NA"", VLOOKUP(F193,IMPORTRANGE(""https://docs.google.com/spreadsheets/d/1EdCvim__xyxvoo9WoburDTzYylznTCOJBHcnu7eurMw/edit?gid=15948134#gid=15948134"", ""Purpose!A1:B1000""),2,FALSE()))"),"to select a model")</f>
        <v>to select a model</v>
      </c>
      <c r="K193" s="8" t="str">
        <f>IFERROR(__xludf.DUMMYFUNCTION("IF(ISBLANK(E193),""NA"", VLOOKUP(E193,IMPORTRANGE(""https://docs.google.com/spreadsheets/d/1EdCvim__xyxvoo9WoburDTzYylznTCOJBHcnu7eurMw/edit?gid=15948134#gid=15948134"", ""Technique!A1:B2000""),2,FALSE()))"),"select model based on model capabilities and on problem")</f>
        <v>select model based on model capabilities and on problem</v>
      </c>
      <c r="L193" s="8" t="str">
        <f>IFERROR(__xludf.DUMMYFUNCTION("IF(ISBLANK(D193),""NA"", VLOOKUP(D193,IMPORTRANGE(""https://docs.google.com/spreadsheets/d/1EdCvim__xyxvoo9WoburDTzYylznTCOJBHcnu7eurMw/edit?gid=15948134#gid=15948134"", ""Input!A1:B2000""),2,FALSE()))"),"")</f>
        <v/>
      </c>
    </row>
    <row r="194" hidden="1">
      <c r="A194" s="26" t="s">
        <v>636</v>
      </c>
      <c r="B194" s="1">
        <v>3.0</v>
      </c>
      <c r="C194" s="8" t="s">
        <v>643</v>
      </c>
      <c r="D194" s="8" t="s">
        <v>644</v>
      </c>
      <c r="E194" s="9" t="s">
        <v>645</v>
      </c>
      <c r="F194" s="9" t="s">
        <v>646</v>
      </c>
      <c r="G194" s="8" t="s">
        <v>14</v>
      </c>
      <c r="H194" s="10" t="s">
        <v>640</v>
      </c>
      <c r="J194" s="8" t="str">
        <f>IFERROR(__xludf.DUMMYFUNCTION("IF(ISBLANK(F194),""NA"", VLOOKUP(F194,IMPORTRANGE(""https://docs.google.com/spreadsheets/d/1EdCvim__xyxvoo9WoburDTzYylznTCOJBHcnu7eurMw/edit?gid=15948134#gid=15948134"", ""Purpose!A1:B1000""),2,FALSE()))"),"to select features that are not correlated")</f>
        <v>to select features that are not correlated</v>
      </c>
      <c r="K194" s="8" t="str">
        <f>IFERROR(__xludf.DUMMYFUNCTION("IF(ISBLANK(E194),""NA"", VLOOKUP(E194,IMPORTRANGE(""https://docs.google.com/spreadsheets/d/1EdCvim__xyxvoo9WoburDTzYylznTCOJBHcnu7eurMw/edit?gid=15948134#gid=15948134"", ""Technique!A1:B2000""),2,FALSE()))"),"feature selection, correlation-based feature selection (Spearman rank correlation)")</f>
        <v>feature selection, correlation-based feature selection (Spearman rank correlation)</v>
      </c>
      <c r="L194" s="8" t="str">
        <f>IFERROR(__xludf.DUMMYFUNCTION("IF(ISBLANK(D194),""NA"", VLOOKUP(D194,IMPORTRANGE(""https://docs.google.com/spreadsheets/d/1EdCvim__xyxvoo9WoburDTzYylznTCOJBHcnu7eurMw/edit?gid=15948134#gid=15948134"", ""Input!A1:B2000""),2,FALSE()))"),"numeric features (extracted from pull requests about PR, project and developer)")</f>
        <v>numeric features (extracted from pull requests about PR, project and developer)</v>
      </c>
    </row>
    <row r="195" hidden="1">
      <c r="A195" s="26" t="s">
        <v>636</v>
      </c>
      <c r="B195" s="1">
        <v>4.0</v>
      </c>
      <c r="C195" s="8" t="s">
        <v>643</v>
      </c>
      <c r="D195" s="8" t="s">
        <v>647</v>
      </c>
      <c r="E195" s="9" t="s">
        <v>648</v>
      </c>
      <c r="F195" s="14" t="s">
        <v>649</v>
      </c>
      <c r="G195" s="8" t="s">
        <v>14</v>
      </c>
      <c r="H195" s="10" t="s">
        <v>640</v>
      </c>
      <c r="J195" s="8" t="str">
        <f>IFERROR(__xludf.DUMMYFUNCTION("IF(ISBLANK(F195),""NA"", VLOOKUP(F195,IMPORTRANGE(""https://docs.google.com/spreadsheets/d/1EdCvim__xyxvoo9WoburDTzYylznTCOJBHcnu7eurMw/edit?gid=15948134#gid=15948134"", ""Purpose!A1:B1000""),2,FALSE()))"),"to select features that are reliable at computation time")</f>
        <v>to select features that are reliable at computation time</v>
      </c>
      <c r="K195" s="8" t="str">
        <f>IFERROR(__xludf.DUMMYFUNCTION("IF(ISBLANK(E195),""NA"", VLOOKUP(E195,IMPORTRANGE(""https://docs.google.com/spreadsheets/d/1EdCvim__xyxvoo9WoburDTzYylznTCOJBHcnu7eurMw/edit?gid=15948134#gid=15948134"", ""Technique!A1:B2000""),2,FALSE()))"),"drop features that cannot be calculated reliable on a specific point in time")</f>
        <v>drop features that cannot be calculated reliable on a specific point in time</v>
      </c>
      <c r="L195" s="8" t="str">
        <f>IFERROR(__xludf.DUMMYFUNCTION("IF(ISBLANK(D195),""NA"", VLOOKUP(D195,IMPORTRANGE(""https://docs.google.com/spreadsheets/d/1EdCvim__xyxvoo9WoburDTzYylznTCOJBHcnu7eurMw/edit?gid=15948134#gid=15948134"", ""Input!A1:B2000""),2,FALSE()))"),"numeric independent features (extracted from pull requests about PR, project and developer)")</f>
        <v>numeric independent features (extracted from pull requests about PR, project and developer)</v>
      </c>
    </row>
    <row r="196" hidden="1">
      <c r="A196" s="26" t="s">
        <v>636</v>
      </c>
      <c r="B196" s="1">
        <v>5.0</v>
      </c>
      <c r="C196" s="8" t="s">
        <v>643</v>
      </c>
      <c r="D196" s="8" t="s">
        <v>650</v>
      </c>
      <c r="E196" s="9" t="s">
        <v>651</v>
      </c>
      <c r="F196" s="8" t="s">
        <v>33</v>
      </c>
      <c r="G196" s="8" t="s">
        <v>14</v>
      </c>
      <c r="H196" s="10" t="s">
        <v>640</v>
      </c>
      <c r="J196" s="8" t="str">
        <f>IFERROR(__xludf.DUMMYFUNCTION("IF(ISBLANK(F196),""NA"", VLOOKUP(F196,IMPORTRANGE(""https://docs.google.com/spreadsheets/d/1EdCvim__xyxvoo9WoburDTzYylznTCOJBHcnu7eurMw/edit?gid=15948134#gid=15948134"", ""Purpose!A1:B1000""),2,FALSE()))"),"")</f>
        <v/>
      </c>
      <c r="K196" s="8" t="str">
        <f>IFERROR(__xludf.DUMMYFUNCTION("IF(ISBLANK(E196),""NA"", VLOOKUP(E196,IMPORTRANGE(""https://docs.google.com/spreadsheets/d/1EdCvim__xyxvoo9WoburDTzYylznTCOJBHcnu7eurMw/edit?gid=15948134#gid=15948134"", ""Technique!A1:B2000""),2,FALSE()))"),"combine similar features in a super feature")</f>
        <v>combine similar features in a super feature</v>
      </c>
      <c r="L196" s="8" t="str">
        <f>IFERROR(__xludf.DUMMYFUNCTION("IF(ISBLANK(D196),""NA"", VLOOKUP(D196,IMPORTRANGE(""https://docs.google.com/spreadsheets/d/1EdCvim__xyxvoo9WoburDTzYylznTCOJBHcnu7eurMw/edit?gid=15948134#gid=15948134"", ""Input!A1:B2000""),2,FALSE()))"),"numeric features (extracted from pull requests about PR, project and developer)")</f>
        <v>numeric features (extracted from pull requests about PR, project and developer)</v>
      </c>
    </row>
    <row r="197" hidden="1">
      <c r="A197" s="26" t="s">
        <v>636</v>
      </c>
      <c r="B197" s="1">
        <v>6.0</v>
      </c>
      <c r="C197" s="8" t="s">
        <v>641</v>
      </c>
      <c r="D197" s="9" t="s">
        <v>652</v>
      </c>
      <c r="E197" s="9" t="s">
        <v>653</v>
      </c>
      <c r="F197" s="9" t="s">
        <v>654</v>
      </c>
      <c r="G197" s="8" t="s">
        <v>39</v>
      </c>
      <c r="H197" s="10" t="s">
        <v>640</v>
      </c>
      <c r="J197" s="8" t="str">
        <f>IFERROR(__xludf.DUMMYFUNCTION("IF(ISBLANK(F197),""NA"", VLOOKUP(F197,IMPORTRANGE(""https://docs.google.com/spreadsheets/d/1EdCvim__xyxvoo9WoburDTzYylznTCOJBHcnu7eurMw/edit?gid=15948134#gid=15948134"", ""Purpose!A1:B1000""),2,FALSE()))"),"to evaluate model(s) functionally (e.g., accuracy)")</f>
        <v>to evaluate model(s) functionally (e.g., accuracy)</v>
      </c>
      <c r="K197" s="8" t="str">
        <f>IFERROR(__xludf.DUMMYFUNCTION("IF(ISBLANK(E197),""NA"", VLOOKUP(E197,IMPORTRANGE(""https://docs.google.com/spreadsheets/d/1EdCvim__xyxvoo9WoburDTzYylznTCOJBHcnu7eurMw/edit?gid=15948134#gid=15948134"", ""Technique!A1:B2000""),2,FALSE()))"),"compute classical metrics (i.e., Accuracy)")</f>
        <v>compute classical metrics (i.e., Accuracy)</v>
      </c>
      <c r="L197" s="8" t="str">
        <f>IFERROR(__xludf.DUMMYFUNCTION("IF(ISBLANK(D197),""NA"", VLOOKUP(D197,IMPORTRANGE(""https://docs.google.com/spreadsheets/d/1EdCvim__xyxvoo9WoburDTzYylznTCOJBHcnu7eurMw/edit?gid=15948134#gid=15948134"", ""Input!A1:B2000""),2,FALSE()))"),"data (test set) + model(s)")</f>
        <v>data (test set) + model(s)</v>
      </c>
    </row>
    <row r="198" hidden="1">
      <c r="A198" s="26" t="s">
        <v>636</v>
      </c>
      <c r="B198" s="1">
        <v>7.0</v>
      </c>
      <c r="C198" s="8" t="s">
        <v>641</v>
      </c>
      <c r="D198" s="8" t="s">
        <v>652</v>
      </c>
      <c r="E198" s="9" t="s">
        <v>655</v>
      </c>
      <c r="F198" s="9" t="s">
        <v>654</v>
      </c>
      <c r="G198" s="8" t="s">
        <v>39</v>
      </c>
      <c r="H198" s="10" t="s">
        <v>640</v>
      </c>
      <c r="J198" s="8" t="str">
        <f>IFERROR(__xludf.DUMMYFUNCTION("IF(ISBLANK(F198),""NA"", VLOOKUP(F198,IMPORTRANGE(""https://docs.google.com/spreadsheets/d/1EdCvim__xyxvoo9WoburDTzYylznTCOJBHcnu7eurMw/edit?gid=15948134#gid=15948134"", ""Purpose!A1:B1000""),2,FALSE()))"),"to evaluate model(s) functionally (e.g., accuracy)")</f>
        <v>to evaluate model(s) functionally (e.g., accuracy)</v>
      </c>
      <c r="K198" s="8" t="str">
        <f>IFERROR(__xludf.DUMMYFUNCTION("IF(ISBLANK(E198),""NA"", VLOOKUP(E198,IMPORTRANGE(""https://docs.google.com/spreadsheets/d/1EdCvim__xyxvoo9WoburDTzYylznTCOJBHcnu7eurMw/edit?gid=15948134#gid=15948134"", ""Technique!A1:B2000""),2,FALSE()))"),"compute classical metrics (i.e., AUC)")</f>
        <v>compute classical metrics (i.e., AUC)</v>
      </c>
      <c r="L198" s="8" t="str">
        <f>IFERROR(__xludf.DUMMYFUNCTION("IF(ISBLANK(D198),""NA"", VLOOKUP(D198,IMPORTRANGE(""https://docs.google.com/spreadsheets/d/1EdCvim__xyxvoo9WoburDTzYylznTCOJBHcnu7eurMw/edit?gid=15948134#gid=15948134"", ""Input!A1:B2000""),2,FALSE()))"),"data (test set) + model(s)")</f>
        <v>data (test set) + model(s)</v>
      </c>
    </row>
    <row r="199" hidden="1">
      <c r="A199" s="26" t="s">
        <v>636</v>
      </c>
      <c r="B199" s="1">
        <v>8.0</v>
      </c>
      <c r="C199" s="8" t="s">
        <v>641</v>
      </c>
      <c r="D199" s="8" t="s">
        <v>656</v>
      </c>
      <c r="E199" s="12" t="s">
        <v>657</v>
      </c>
      <c r="F199" s="9" t="s">
        <v>654</v>
      </c>
      <c r="G199" s="8" t="s">
        <v>54</v>
      </c>
      <c r="H199" s="10" t="s">
        <v>640</v>
      </c>
      <c r="J199" s="8" t="str">
        <f>IFERROR(__xludf.DUMMYFUNCTION("IF(ISBLANK(F199),""NA"", VLOOKUP(F199,IMPORTRANGE(""https://docs.google.com/spreadsheets/d/1EdCvim__xyxvoo9WoburDTzYylznTCOJBHcnu7eurMw/edit?gid=15948134#gid=15948134"", ""Purpose!A1:B1000""),2,FALSE()))"),"to evaluate model(s) functionally (e.g., accuracy)")</f>
        <v>to evaluate model(s) functionally (e.g., accuracy)</v>
      </c>
      <c r="K199" s="8" t="str">
        <f>IFERROR(__xludf.DUMMYFUNCTION("IF(ISBLANK(E199),""NA"", VLOOKUP(E199,IMPORTRANGE(""https://docs.google.com/spreadsheets/d/1EdCvim__xyxvoo9WoburDTzYylznTCOJBHcnu7eurMw/edit?gid=15948134#gid=15948134"", ""Technique!A1:B2000""),2,FALSE()))"),"cross validation")</f>
        <v>cross validation</v>
      </c>
      <c r="L199" s="8" t="str">
        <f>IFERROR(__xludf.DUMMYFUNCTION("IF(ISBLANK(D199),""NA"", VLOOKUP(D199,IMPORTRANGE(""https://docs.google.com/spreadsheets/d/1EdCvim__xyxvoo9WoburDTzYylznTCOJBHcnu7eurMw/edit?gid=15948134#gid=15948134"", ""Input!A1:B2000""),2,FALSE()))"),"data (training set) + model(s)")</f>
        <v>data (training set) + model(s)</v>
      </c>
    </row>
    <row r="200" hidden="1">
      <c r="A200" s="26" t="s">
        <v>636</v>
      </c>
      <c r="B200" s="1">
        <v>10.0</v>
      </c>
      <c r="C200" s="8" t="s">
        <v>658</v>
      </c>
      <c r="D200" s="8" t="s">
        <v>659</v>
      </c>
      <c r="E200" s="9" t="s">
        <v>660</v>
      </c>
      <c r="F200" s="9" t="s">
        <v>661</v>
      </c>
      <c r="G200" s="8" t="s">
        <v>14</v>
      </c>
      <c r="H200" s="10" t="s">
        <v>640</v>
      </c>
      <c r="J200" s="8" t="str">
        <f>IFERROR(__xludf.DUMMYFUNCTION("IF(ISBLANK(F200),""NA"", VLOOKUP(F200,IMPORTRANGE(""https://docs.google.com/spreadsheets/d/1EdCvim__xyxvoo9WoburDTzYylznTCOJBHcnu7eurMw/edit?gid=15948134#gid=15948134"", ""Purpose!A1:B1000""),2,FALSE()))"),"to extract features that are important in classification")</f>
        <v>to extract features that are important in classification</v>
      </c>
      <c r="K200" s="8" t="str">
        <f>IFERROR(__xludf.DUMMYFUNCTION("IF(ISBLANK(E200),""NA"", VLOOKUP(E200,IMPORTRANGE(""https://docs.google.com/spreadsheets/d/1EdCvim__xyxvoo9WoburDTzYylznTCOJBHcnu7eurMw/edit?gid=15948134#gid=15948134"", ""Technique!A1:B2000""),2,FALSE()))"),"feature engineering, running random forest multiple times on a random sample")</f>
        <v>feature engineering, running random forest multiple times on a random sample</v>
      </c>
      <c r="L200" s="8" t="str">
        <f>IFERROR(__xludf.DUMMYFUNCTION("IF(ISBLANK(D200),""NA"", VLOOKUP(D200,IMPORTRANGE(""https://docs.google.com/spreadsheets/d/1EdCvim__xyxvoo9WoburDTzYylznTCOJBHcnu7eurMw/edit?gid=15948134#gid=15948134"", ""Input!A1:B2000""),2,FALSE()))"),"best classification (RF) model(s) + model features")</f>
        <v>best classification (RF) model(s) + model features</v>
      </c>
    </row>
    <row r="201" hidden="1">
      <c r="A201" s="26" t="s">
        <v>636</v>
      </c>
      <c r="B201" s="1">
        <v>11.0</v>
      </c>
      <c r="C201" s="8" t="s">
        <v>658</v>
      </c>
      <c r="D201" s="8" t="s">
        <v>662</v>
      </c>
      <c r="E201" s="9" t="s">
        <v>663</v>
      </c>
      <c r="F201" s="9" t="s">
        <v>664</v>
      </c>
      <c r="G201" s="8" t="s">
        <v>39</v>
      </c>
      <c r="H201" s="10" t="s">
        <v>640</v>
      </c>
      <c r="J201" s="8" t="str">
        <f>IFERROR(__xludf.DUMMYFUNCTION("IF(ISBLANK(F201),""NA"", VLOOKUP(F201,IMPORTRANGE(""https://docs.google.com/spreadsheets/d/1EdCvim__xyxvoo9WoburDTzYylznTCOJBHcnu7eurMw/edit?gid=15948134#gid=15948134"", ""Purpose!A1:B1000""),2,FALSE()))"),"to evaluate the feature selection")</f>
        <v>to evaluate the feature selection</v>
      </c>
      <c r="K201" s="8" t="str">
        <f>IFERROR(__xludf.DUMMYFUNCTION("IF(ISBLANK(E201),""NA"", VLOOKUP(E201,IMPORTRANGE(""https://docs.google.com/spreadsheets/d/1EdCvim__xyxvoo9WoburDTzYylznTCOJBHcnu7eurMw/edit?gid=15948134#gid=15948134"", ""Technique!A1:B2000""),2,FALSE()))"),"re run cross validation")</f>
        <v>re run cross validation</v>
      </c>
      <c r="L201" s="8" t="str">
        <f>IFERROR(__xludf.DUMMYFUNCTION("IF(ISBLANK(D201),""NA"", VLOOKUP(D201,IMPORTRANGE(""https://docs.google.com/spreadsheets/d/1EdCvim__xyxvoo9WoburDTzYylznTCOJBHcnu7eurMw/edit?gid=15948134#gid=15948134"", ""Input!A1:B2000""),2,FALSE()))"),"Radom forest model(s) + model(s)' features")</f>
        <v>Radom forest model(s) + model(s)' features</v>
      </c>
    </row>
    <row r="202" hidden="1">
      <c r="A202" s="26" t="s">
        <v>665</v>
      </c>
      <c r="B202" s="1">
        <v>6.0</v>
      </c>
      <c r="C202" s="8" t="s">
        <v>666</v>
      </c>
      <c r="D202" s="8" t="s">
        <v>33</v>
      </c>
      <c r="E202" s="8" t="s">
        <v>667</v>
      </c>
      <c r="F202" s="9" t="s">
        <v>668</v>
      </c>
      <c r="G202" s="8" t="s">
        <v>44</v>
      </c>
      <c r="H202" s="10" t="s">
        <v>669</v>
      </c>
      <c r="J202" s="8" t="str">
        <f>IFERROR(__xludf.DUMMYFUNCTION("IF(ISBLANK(F202),""NA"", VLOOKUP(F202,IMPORTRANGE(""https://docs.google.com/spreadsheets/d/1EdCvim__xyxvoo9WoburDTzYylznTCOJBHcnu7eurMw/edit?gid=15948134#gid=15948134"", ""Purpose!A1:B1000""),2,FALSE()))"),"to collect data, code data")</f>
        <v>to collect data, code data</v>
      </c>
      <c r="K202" s="8" t="str">
        <f>IFERROR(__xludf.DUMMYFUNCTION("IF(ISBLANK(E202),""NA"", VLOOKUP(E202,IMPORTRANGE(""https://docs.google.com/spreadsheets/d/1EdCvim__xyxvoo9WoburDTzYylznTCOJBHcnu7eurMw/edit?gid=15948134#gid=15948134"", ""Technique!A1:B2000""),2,FALSE()))"),"use Bugzilla API")</f>
        <v>use Bugzilla API</v>
      </c>
      <c r="L202" s="8" t="str">
        <f>IFERROR(__xludf.DUMMYFUNCTION("IF(ISBLANK(D202),""NA"", VLOOKUP(D202,IMPORTRANGE(""https://docs.google.com/spreadsheets/d/1EdCvim__xyxvoo9WoburDTzYylznTCOJBHcnu7eurMw/edit?gid=15948134#gid=15948134"", ""Input!A1:B2000""),2,FALSE()))"),"")</f>
        <v/>
      </c>
    </row>
    <row r="203" hidden="1">
      <c r="A203" s="26" t="s">
        <v>665</v>
      </c>
      <c r="B203" s="1">
        <v>2.0</v>
      </c>
      <c r="C203" s="1" t="s">
        <v>670</v>
      </c>
      <c r="E203" s="14" t="s">
        <v>671</v>
      </c>
      <c r="F203" s="14" t="s">
        <v>672</v>
      </c>
      <c r="G203" s="1" t="s">
        <v>39</v>
      </c>
      <c r="H203" s="15" t="s">
        <v>669</v>
      </c>
      <c r="J203" s="8" t="str">
        <f>IFERROR(__xludf.DUMMYFUNCTION("IF(ISBLANK(F203),""NA"", VLOOKUP(F203,IMPORTRANGE(""https://docs.google.com/spreadsheets/d/1EdCvim__xyxvoo9WoburDTzYylznTCOJBHcnu7eurMw/edit?gid=15948134#gid=15948134"", ""Purpose!A1:B1000""),2,FALSE()))"),"to understand statistical significance")</f>
        <v>to understand statistical significance</v>
      </c>
      <c r="K203" s="8" t="str">
        <f>IFERROR(__xludf.DUMMYFUNCTION("IF(ISBLANK(E203),""NA"", VLOOKUP(E203,IMPORTRANGE(""https://docs.google.com/spreadsheets/d/1EdCvim__xyxvoo9WoburDTzYylznTCOJBHcnu7eurMw/edit?gid=15948134#gid=15948134"", ""Technique!A1:B2000""),2,FALSE()))"),"statistical test (Mann-Whitney-U)")</f>
        <v>statistical test (Mann-Whitney-U)</v>
      </c>
      <c r="L203" s="8" t="str">
        <f>IFERROR(__xludf.DUMMYFUNCTION("IF(ISBLANK(D203),""NA"", VLOOKUP(D203,IMPORTRANGE(""https://docs.google.com/spreadsheets/d/1EdCvim__xyxvoo9WoburDTzYylznTCOJBHcnu7eurMw/edit?gid=15948134#gid=15948134"", ""Input!A1:B2000""),2,FALSE()))"),"NA")</f>
        <v>NA</v>
      </c>
    </row>
    <row r="204" hidden="1">
      <c r="A204" s="26" t="s">
        <v>665</v>
      </c>
      <c r="B204" s="1" t="s">
        <v>673</v>
      </c>
      <c r="C204" s="8" t="s">
        <v>674</v>
      </c>
      <c r="D204" s="8" t="s">
        <v>675</v>
      </c>
      <c r="E204" s="1" t="s">
        <v>676</v>
      </c>
      <c r="F204" s="9" t="s">
        <v>309</v>
      </c>
      <c r="G204" s="8" t="s">
        <v>39</v>
      </c>
      <c r="H204" s="10" t="s">
        <v>669</v>
      </c>
      <c r="J204" s="8" t="str">
        <f>IFERROR(__xludf.DUMMYFUNCTION("IF(ISBLANK(F204),""NA"", VLOOKUP(F204,IMPORTRANGE(""https://docs.google.com/spreadsheets/d/1EdCvim__xyxvoo9WoburDTzYylznTCOJBHcnu7eurMw/edit?gid=15948134#gid=15948134"", ""Purpose!A1:B1000""),2,FALSE()))"),"to evaluate model(s) functionally (e.g., accuracy)")</f>
        <v>to evaluate model(s) functionally (e.g., accuracy)</v>
      </c>
      <c r="K204" s="8" t="str">
        <f>IFERROR(__xludf.DUMMYFUNCTION("IF(ISBLANK(E204),""NA"", VLOOKUP(E204,IMPORTRANGE(""https://docs.google.com/spreadsheets/d/1EdCvim__xyxvoo9WoburDTzYylznTCOJBHcnu7eurMw/edit?gid=15948134#gid=15948134"", ""Technique!A1:B2000""),2,FALSE()))"),"compute classical metrics (i.e., Precision, Recall. F-meassure)")</f>
        <v>compute classical metrics (i.e., Precision, Recall. F-meassure)</v>
      </c>
      <c r="L204" s="8" t="str">
        <f>IFERROR(__xludf.DUMMYFUNCTION("IF(ISBLANK(D204),""NA"", VLOOKUP(D204,IMPORTRANGE(""https://docs.google.com/spreadsheets/d/1EdCvim__xyxvoo9WoburDTzYylznTCOJBHcnu7eurMw/edit?gid=15948134#gid=15948134"", ""Input!A1:B2000""),2,FALSE()))"),"data + classification model(s)")</f>
        <v>data + classification model(s)</v>
      </c>
    </row>
    <row r="205" hidden="1">
      <c r="A205" s="26" t="s">
        <v>665</v>
      </c>
      <c r="B205" s="1" t="s">
        <v>677</v>
      </c>
      <c r="C205" s="8" t="s">
        <v>674</v>
      </c>
      <c r="D205" s="8" t="s">
        <v>33</v>
      </c>
      <c r="E205" s="1" t="s">
        <v>678</v>
      </c>
      <c r="F205" s="14" t="s">
        <v>679</v>
      </c>
      <c r="G205" s="8" t="s">
        <v>39</v>
      </c>
      <c r="H205" s="10" t="s">
        <v>669</v>
      </c>
      <c r="J205" s="8" t="str">
        <f>IFERROR(__xludf.DUMMYFUNCTION("IF(ISBLANK(F205),""NA"", VLOOKUP(F205,IMPORTRANGE(""https://docs.google.com/spreadsheets/d/1EdCvim__xyxvoo9WoburDTzYylznTCOJBHcnu7eurMw/edit?gid=15948134#gid=15948134"", ""Purpose!A1:B1000""),2,FALSE()))"),"to evaluate model(s) functionally (e.g., accuracy)")</f>
        <v>to evaluate model(s) functionally (e.g., accuracy)</v>
      </c>
      <c r="K205" s="8" t="str">
        <f>IFERROR(__xludf.DUMMYFUNCTION("IF(ISBLANK(E205),""NA"", VLOOKUP(E205,IMPORTRANGE(""https://docs.google.com/spreadsheets/d/1EdCvim__xyxvoo9WoburDTzYylznTCOJBHcnu7eurMw/edit?gid=15948134#gid=15948134"", ""Technique!A1:B2000""),2,FALSE()))"),"consider different approaches and evaluate them")</f>
        <v>consider different approaches and evaluate them</v>
      </c>
      <c r="L205" s="8" t="str">
        <f>IFERROR(__xludf.DUMMYFUNCTION("IF(ISBLANK(D205),""NA"", VLOOKUP(D205,IMPORTRANGE(""https://docs.google.com/spreadsheets/d/1EdCvim__xyxvoo9WoburDTzYylznTCOJBHcnu7eurMw/edit?gid=15948134#gid=15948134"", ""Input!A1:B2000""),2,FALSE()))"),"")</f>
        <v/>
      </c>
    </row>
    <row r="206" hidden="1">
      <c r="A206" s="26" t="s">
        <v>665</v>
      </c>
      <c r="B206" s="1" t="s">
        <v>680</v>
      </c>
      <c r="C206" s="1" t="s">
        <v>681</v>
      </c>
      <c r="D206" s="8" t="s">
        <v>205</v>
      </c>
      <c r="E206" s="15" t="s">
        <v>682</v>
      </c>
      <c r="F206" s="14" t="s">
        <v>683</v>
      </c>
      <c r="G206" s="8" t="s">
        <v>54</v>
      </c>
      <c r="H206" s="10" t="s">
        <v>669</v>
      </c>
      <c r="J206" s="8" t="str">
        <f>IFERROR(__xludf.DUMMYFUNCTION("IF(ISBLANK(F206),""NA"", VLOOKUP(F206,IMPORTRANGE(""https://docs.google.com/spreadsheets/d/1EdCvim__xyxvoo9WoburDTzYylznTCOJBHcnu7eurMw/edit?gid=15948134#gid=15948134"", ""Purpose!A1:B1000""),2,FALSE()))"),"to train a model for classification tasks (i.e., bug report classification)")</f>
        <v>to train a model for classification tasks (i.e., bug report classification)</v>
      </c>
      <c r="K206" s="8" t="str">
        <f>IFERROR(__xludf.DUMMYFUNCTION("IF(ISBLANK(E206),""NA"", VLOOKUP(E206,IMPORTRANGE(""https://docs.google.com/spreadsheets/d/1EdCvim__xyxvoo9WoburDTzYylznTCOJBHcnu7eurMw/edit?gid=15948134#gid=15948134"", ""Technique!A1:B2000""),2,FALSE()))"),"use support vector machines")</f>
        <v>use support vector machines</v>
      </c>
      <c r="L206" s="8" t="str">
        <f>IFERROR(__xludf.DUMMYFUNCTION("IF(ISBLANK(D206),""NA"", VLOOKUP(D206,IMPORTRANGE(""https://docs.google.com/spreadsheets/d/1EdCvim__xyxvoo9WoburDTzYylznTCOJBHcnu7eurMw/edit?gid=15948134#gid=15948134"", ""Input!A1:B2000""),2,FALSE()))"),"data")</f>
        <v>data</v>
      </c>
    </row>
    <row r="207" hidden="1">
      <c r="A207" s="26" t="s">
        <v>665</v>
      </c>
      <c r="B207" s="1" t="s">
        <v>680</v>
      </c>
      <c r="C207" s="1" t="s">
        <v>681</v>
      </c>
      <c r="D207" s="8" t="s">
        <v>205</v>
      </c>
      <c r="E207" s="10" t="s">
        <v>684</v>
      </c>
      <c r="F207" s="9" t="s">
        <v>685</v>
      </c>
      <c r="G207" s="8" t="s">
        <v>54</v>
      </c>
      <c r="H207" s="10" t="s">
        <v>669</v>
      </c>
      <c r="J207" s="8" t="str">
        <f>IFERROR(__xludf.DUMMYFUNCTION("IF(ISBLANK(F207),""NA"", VLOOKUP(F207,IMPORTRANGE(""https://docs.google.com/spreadsheets/d/1EdCvim__xyxvoo9WoburDTzYylznTCOJBHcnu7eurMw/edit?gid=15948134#gid=15948134"", ""Purpose!A1:B1000""),2,FALSE()))"),"to train the model(s), SVM")</f>
        <v>to train the model(s), SVM</v>
      </c>
      <c r="K207" s="8" t="str">
        <f>IFERROR(__xludf.DUMMYFUNCTION("IF(ISBLANK(E207),""NA"", VLOOKUP(E207,IMPORTRANGE(""https://docs.google.com/spreadsheets/d/1EdCvim__xyxvoo9WoburDTzYylznTCOJBHcnu7eurMw/edit?gid=15948134#gid=15948134"", ""Technique!A1:B2000""),2,FALSE()))"),"sample x% of data")</f>
        <v>sample x% of data</v>
      </c>
      <c r="L207" s="8" t="str">
        <f>IFERROR(__xludf.DUMMYFUNCTION("IF(ISBLANK(D207),""NA"", VLOOKUP(D207,IMPORTRANGE(""https://docs.google.com/spreadsheets/d/1EdCvim__xyxvoo9WoburDTzYylznTCOJBHcnu7eurMw/edit?gid=15948134#gid=15948134"", ""Input!A1:B2000""),2,FALSE()))"),"data")</f>
        <v>data</v>
      </c>
    </row>
    <row r="208" hidden="1">
      <c r="A208" s="26" t="s">
        <v>686</v>
      </c>
      <c r="B208" s="1">
        <v>1.0</v>
      </c>
      <c r="C208" s="1" t="s">
        <v>687</v>
      </c>
      <c r="D208" s="1" t="s">
        <v>688</v>
      </c>
      <c r="E208" s="14" t="s">
        <v>689</v>
      </c>
      <c r="F208" s="14" t="s">
        <v>690</v>
      </c>
      <c r="G208" s="1" t="s">
        <v>39</v>
      </c>
      <c r="H208" s="15" t="s">
        <v>691</v>
      </c>
      <c r="J208" s="8" t="str">
        <f>IFERROR(__xludf.DUMMYFUNCTION("IF(ISBLANK(F208),""NA"", VLOOKUP(F208,IMPORTRANGE(""https://docs.google.com/spreadsheets/d/1EdCvim__xyxvoo9WoburDTzYylznTCOJBHcnu7eurMw/edit?gid=15948134#gid=15948134"", ""Purpose!A1:B1000""),2,FALSE()))"),"to evaluate model(s) functionally (e.g., accuracy) against others")</f>
        <v>to evaluate model(s) functionally (e.g., accuracy) against others</v>
      </c>
      <c r="K208" s="8" t="str">
        <f>IFERROR(__xludf.DUMMYFUNCTION("IF(ISBLANK(E208),""NA"", VLOOKUP(E208,IMPORTRANGE(""https://docs.google.com/spreadsheets/d/1EdCvim__xyxvoo9WoburDTzYylznTCOJBHcnu7eurMw/edit?gid=15948134#gid=15948134"", ""Technique!A1:B2000""),2,FALSE()))"),"compare with baseline model(s), baselines non ml (simple heuristics)")</f>
        <v>compare with baseline model(s), baselines non ml (simple heuristics)</v>
      </c>
      <c r="L208" s="8" t="str">
        <f>IFERROR(__xludf.DUMMYFUNCTION("IF(ISBLANK(D208),""NA"", VLOOKUP(D208,IMPORTRANGE(""https://docs.google.com/spreadsheets/d/1EdCvim__xyxvoo9WoburDTzYylznTCOJBHcnu7eurMw/edit?gid=15948134#gid=15948134"", ""Input!A1:B2000""),2,FALSE()))"),"data (test set)")</f>
        <v>data (test set)</v>
      </c>
    </row>
    <row r="209" hidden="1">
      <c r="A209" s="26" t="s">
        <v>686</v>
      </c>
      <c r="B209" s="1">
        <v>2.0</v>
      </c>
      <c r="C209" s="1" t="s">
        <v>692</v>
      </c>
      <c r="D209" s="1" t="s">
        <v>688</v>
      </c>
      <c r="E209" s="14" t="s">
        <v>693</v>
      </c>
      <c r="F209" s="14" t="s">
        <v>694</v>
      </c>
      <c r="G209" s="1" t="s">
        <v>39</v>
      </c>
      <c r="H209" s="15" t="s">
        <v>691</v>
      </c>
      <c r="J209" s="8" t="str">
        <f>IFERROR(__xludf.DUMMYFUNCTION("IF(ISBLANK(F209),""NA"", VLOOKUP(F209,IMPORTRANGE(""https://docs.google.com/spreadsheets/d/1EdCvim__xyxvoo9WoburDTzYylznTCOJBHcnu7eurMw/edit?gid=15948134#gid=15948134"", ""Purpose!A1:B1000""),2,FALSE()))"),"to evaluate model(s) functionally (e.g., accuracy) against others")</f>
        <v>to evaluate model(s) functionally (e.g., accuracy) against others</v>
      </c>
      <c r="K209" s="8" t="str">
        <f>IFERROR(__xludf.DUMMYFUNCTION("IF(ISBLANK(E209),""NA"", VLOOKUP(E209,IMPORTRANGE(""https://docs.google.com/spreadsheets/d/1EdCvim__xyxvoo9WoburDTzYylznTCOJBHcnu7eurMw/edit?gid=15948134#gid=15948134"", ""Technique!A1:B2000""),2,FALSE()))"),"compare with baseline model(s), complex heuristics")</f>
        <v>compare with baseline model(s), complex heuristics</v>
      </c>
      <c r="L209" s="8" t="str">
        <f>IFERROR(__xludf.DUMMYFUNCTION("IF(ISBLANK(D209),""NA"", VLOOKUP(D209,IMPORTRANGE(""https://docs.google.com/spreadsheets/d/1EdCvim__xyxvoo9WoburDTzYylznTCOJBHcnu7eurMw/edit?gid=15948134#gid=15948134"", ""Input!A1:B2000""),2,FALSE()))"),"data (test set)")</f>
        <v>data (test set)</v>
      </c>
    </row>
    <row r="210" hidden="1">
      <c r="A210" s="26" t="s">
        <v>686</v>
      </c>
      <c r="B210" s="1">
        <v>3.0</v>
      </c>
      <c r="C210" s="1" t="s">
        <v>695</v>
      </c>
      <c r="E210" s="14" t="s">
        <v>696</v>
      </c>
      <c r="G210" s="1" t="s">
        <v>14</v>
      </c>
      <c r="H210" s="15" t="s">
        <v>691</v>
      </c>
      <c r="J210" s="8" t="str">
        <f>IFERROR(__xludf.DUMMYFUNCTION("IF(ISBLANK(F210),""NA"", VLOOKUP(F210,IMPORTRANGE(""https://docs.google.com/spreadsheets/d/1EdCvim__xyxvoo9WoburDTzYylznTCOJBHcnu7eurMw/edit?gid=15948134#gid=15948134"", ""Purpose!A1:B1000""),2,FALSE()))"),"NA")</f>
        <v>NA</v>
      </c>
      <c r="K210" s="8" t="str">
        <f>IFERROR(__xludf.DUMMYFUNCTION("IF(ISBLANK(E210),""NA"", VLOOKUP(E210,IMPORTRANGE(""https://docs.google.com/spreadsheets/d/1EdCvim__xyxvoo9WoburDTzYylznTCOJBHcnu7eurMw/edit?gid=15948134#gid=15948134"", ""Technique!A1:B2000""),2,FALSE()))"),"feature engineering, compute metrics (i.e., metrics that describe the raltion of changes to developers)")</f>
        <v>feature engineering, compute metrics (i.e., metrics that describe the raltion of changes to developers)</v>
      </c>
      <c r="L210" s="8" t="str">
        <f>IFERROR(__xludf.DUMMYFUNCTION("IF(ISBLANK(D210),""NA"", VLOOKUP(D210,IMPORTRANGE(""https://docs.google.com/spreadsheets/d/1EdCvim__xyxvoo9WoburDTzYylznTCOJBHcnu7eurMw/edit?gid=15948134#gid=15948134"", ""Input!A1:B2000""),2,FALSE()))"),"NA")</f>
        <v>NA</v>
      </c>
    </row>
    <row r="211" hidden="1">
      <c r="A211" s="26" t="s">
        <v>686</v>
      </c>
      <c r="B211" s="1" t="s">
        <v>338</v>
      </c>
      <c r="C211" s="1" t="s">
        <v>697</v>
      </c>
      <c r="D211" s="1" t="s">
        <v>698</v>
      </c>
      <c r="E211" s="16" t="s">
        <v>699</v>
      </c>
      <c r="F211" s="14" t="s">
        <v>700</v>
      </c>
      <c r="G211" s="1" t="s">
        <v>54</v>
      </c>
      <c r="H211" s="15" t="s">
        <v>691</v>
      </c>
      <c r="J211" s="8" t="str">
        <f>IFERROR(__xludf.DUMMYFUNCTION("IF(ISBLANK(F211),""NA"", VLOOKUP(F211,IMPORTRANGE(""https://docs.google.com/spreadsheets/d/1EdCvim__xyxvoo9WoburDTzYylznTCOJBHcnu7eurMw/edit?gid=15948134#gid=15948134"", ""Purpose!A1:B1000""),2,FALSE()))"),"to train a model for prediction tasks (i.e., relevant changes prediction)")</f>
        <v>to train a model for prediction tasks (i.e., relevant changes prediction)</v>
      </c>
      <c r="K211" s="8" t="str">
        <f>IFERROR(__xludf.DUMMYFUNCTION("IF(ISBLANK(E211),""NA"", VLOOKUP(E211,IMPORTRANGE(""https://docs.google.com/spreadsheets/d/1EdCvim__xyxvoo9WoburDTzYylznTCOJBHcnu7eurMw/edit?gid=15948134#gid=15948134"", ""Technique!A1:B2000""),2,FALSE()))"),"use Conjunctive rule (classifier)")</f>
        <v>use Conjunctive rule (classifier)</v>
      </c>
      <c r="L211" s="8" t="str">
        <f>IFERROR(__xludf.DUMMYFUNCTION("IF(ISBLANK(D211),""NA"", VLOOKUP(D211,IMPORTRANGE(""https://docs.google.com/spreadsheets/d/1EdCvim__xyxvoo9WoburDTzYylznTCOJBHcnu7eurMw/edit?gid=15948134#gid=15948134"", ""Input!A1:B2000""),2,FALSE()))"),"data (training set)")</f>
        <v>data (training set)</v>
      </c>
    </row>
    <row r="212" hidden="1">
      <c r="A212" s="26" t="s">
        <v>686</v>
      </c>
      <c r="B212" s="1" t="s">
        <v>701</v>
      </c>
      <c r="C212" s="1" t="s">
        <v>697</v>
      </c>
      <c r="D212" s="1" t="s">
        <v>698</v>
      </c>
      <c r="E212" s="16" t="s">
        <v>702</v>
      </c>
      <c r="F212" s="14" t="s">
        <v>700</v>
      </c>
      <c r="G212" s="1" t="s">
        <v>54</v>
      </c>
      <c r="H212" s="15" t="s">
        <v>691</v>
      </c>
      <c r="J212" s="8" t="str">
        <f>IFERROR(__xludf.DUMMYFUNCTION("IF(ISBLANK(F212),""NA"", VLOOKUP(F212,IMPORTRANGE(""https://docs.google.com/spreadsheets/d/1EdCvim__xyxvoo9WoburDTzYylznTCOJBHcnu7eurMw/edit?gid=15948134#gid=15948134"", ""Purpose!A1:B1000""),2,FALSE()))"),"to train a model for prediction tasks (i.e., relevant changes prediction)")</f>
        <v>to train a model for prediction tasks (i.e., relevant changes prediction)</v>
      </c>
      <c r="K212" s="8" t="str">
        <f>IFERROR(__xludf.DUMMYFUNCTION("IF(ISBLANK(E212),""NA"", VLOOKUP(E212,IMPORTRANGE(""https://docs.google.com/spreadsheets/d/1EdCvim__xyxvoo9WoburDTzYylznTCOJBHcnu7eurMw/edit?gid=15948134#gid=15948134"", ""Technique!A1:B2000""),2,FALSE()))"),"use C4.5 tree")</f>
        <v>use C4.5 tree</v>
      </c>
      <c r="L212" s="8" t="str">
        <f>IFERROR(__xludf.DUMMYFUNCTION("IF(ISBLANK(D212),""NA"", VLOOKUP(D212,IMPORTRANGE(""https://docs.google.com/spreadsheets/d/1EdCvim__xyxvoo9WoburDTzYylznTCOJBHcnu7eurMw/edit?gid=15948134#gid=15948134"", ""Input!A1:B2000""),2,FALSE()))"),"data (training set)")</f>
        <v>data (training set)</v>
      </c>
    </row>
    <row r="213" hidden="1">
      <c r="A213" s="26" t="s">
        <v>686</v>
      </c>
      <c r="B213" s="1" t="s">
        <v>703</v>
      </c>
      <c r="C213" s="1" t="s">
        <v>697</v>
      </c>
      <c r="D213" s="1" t="s">
        <v>698</v>
      </c>
      <c r="E213" s="16" t="s">
        <v>704</v>
      </c>
      <c r="F213" s="14" t="s">
        <v>700</v>
      </c>
      <c r="G213" s="1" t="s">
        <v>54</v>
      </c>
      <c r="H213" s="15" t="s">
        <v>691</v>
      </c>
      <c r="J213" s="8" t="str">
        <f>IFERROR(__xludf.DUMMYFUNCTION("IF(ISBLANK(F213),""NA"", VLOOKUP(F213,IMPORTRANGE(""https://docs.google.com/spreadsheets/d/1EdCvim__xyxvoo9WoburDTzYylznTCOJBHcnu7eurMw/edit?gid=15948134#gid=15948134"", ""Purpose!A1:B1000""),2,FALSE()))"),"to train a model for prediction tasks (i.e., relevant changes prediction)")</f>
        <v>to train a model for prediction tasks (i.e., relevant changes prediction)</v>
      </c>
      <c r="K213" s="8" t="str">
        <f>IFERROR(__xludf.DUMMYFUNCTION("IF(ISBLANK(E213),""NA"", VLOOKUP(E213,IMPORTRANGE(""https://docs.google.com/spreadsheets/d/1EdCvim__xyxvoo9WoburDTzYylznTCOJBHcnu7eurMw/edit?gid=15948134#gid=15948134"", ""Technique!A1:B2000""),2,FALSE()))"),"use Naive Bayes")</f>
        <v>use Naive Bayes</v>
      </c>
      <c r="L213" s="8" t="str">
        <f>IFERROR(__xludf.DUMMYFUNCTION("IF(ISBLANK(D213),""NA"", VLOOKUP(D213,IMPORTRANGE(""https://docs.google.com/spreadsheets/d/1EdCvim__xyxvoo9WoburDTzYylznTCOJBHcnu7eurMw/edit?gid=15948134#gid=15948134"", ""Input!A1:B2000""),2,FALSE()))"),"data (training set)")</f>
        <v>data (training set)</v>
      </c>
    </row>
    <row r="214" hidden="1">
      <c r="A214" s="26" t="s">
        <v>686</v>
      </c>
      <c r="B214" s="1">
        <v>12.0</v>
      </c>
      <c r="C214" s="8" t="s">
        <v>705</v>
      </c>
      <c r="D214" s="8" t="s">
        <v>33</v>
      </c>
      <c r="E214" s="9" t="s">
        <v>706</v>
      </c>
      <c r="F214" s="14" t="s">
        <v>707</v>
      </c>
      <c r="G214" s="8" t="s">
        <v>44</v>
      </c>
      <c r="H214" s="10" t="s">
        <v>691</v>
      </c>
      <c r="J214" s="8" t="str">
        <f>IFERROR(__xludf.DUMMYFUNCTION("IF(ISBLANK(F214),""NA"", VLOOKUP(F214,IMPORTRANGE(""https://docs.google.com/spreadsheets/d/1EdCvim__xyxvoo9WoburDTzYylznTCOJBHcnu7eurMw/edit?gid=15948134#gid=15948134"", ""Purpose!A1:B1000""),2,FALSE()))"),"to collect data, code data")</f>
        <v>to collect data, code data</v>
      </c>
      <c r="K214" s="8" t="str">
        <f>IFERROR(__xludf.DUMMYFUNCTION("IF(ISBLANK(E214),""NA"", VLOOKUP(E214,IMPORTRANGE(""https://docs.google.com/spreadsheets/d/1EdCvim__xyxvoo9WoburDTzYylznTCOJBHcnu7eurMw/edit?gid=15948134#gid=15948134"", ""Technique!A1:B2000""),2,FALSE()))"),"use repositories (e.g., github)")</f>
        <v>use repositories (e.g., github)</v>
      </c>
      <c r="L214" s="8" t="str">
        <f>IFERROR(__xludf.DUMMYFUNCTION("IF(ISBLANK(D214),""NA"", VLOOKUP(D214,IMPORTRANGE(""https://docs.google.com/spreadsheets/d/1EdCvim__xyxvoo9WoburDTzYylznTCOJBHcnu7eurMw/edit?gid=15948134#gid=15948134"", ""Input!A1:B2000""),2,FALSE()))"),"")</f>
        <v/>
      </c>
    </row>
    <row r="215" hidden="1">
      <c r="A215" s="26" t="s">
        <v>686</v>
      </c>
      <c r="B215" s="1">
        <v>13.0</v>
      </c>
      <c r="C215" s="8" t="s">
        <v>708</v>
      </c>
      <c r="D215" s="8" t="s">
        <v>709</v>
      </c>
      <c r="E215" s="9" t="s">
        <v>710</v>
      </c>
      <c r="G215" s="8" t="s">
        <v>39</v>
      </c>
      <c r="H215" s="10" t="s">
        <v>691</v>
      </c>
      <c r="J215" s="8" t="str">
        <f>IFERROR(__xludf.DUMMYFUNCTION("IF(ISBLANK(F215),""NA"", VLOOKUP(F215,IMPORTRANGE(""https://docs.google.com/spreadsheets/d/1EdCvim__xyxvoo9WoburDTzYylznTCOJBHcnu7eurMw/edit?gid=15948134#gid=15948134"", ""Purpose!A1:B1000""),2,FALSE()))"),"NA")</f>
        <v>NA</v>
      </c>
      <c r="K215" s="8" t="str">
        <f>IFERROR(__xludf.DUMMYFUNCTION("IF(ISBLANK(E215),""NA"", VLOOKUP(E215,IMPORTRANGE(""https://docs.google.com/spreadsheets/d/1EdCvim__xyxvoo9WoburDTzYylznTCOJBHcnu7eurMw/edit?gid=15948134#gid=15948134"", ""Technique!A1:B2000""),2,FALSE()))"),"feature importance, compute P-values per feature and z-score (Wald test)")</f>
        <v>feature importance, compute P-values per feature and z-score (Wald test)</v>
      </c>
      <c r="L215" s="8" t="str">
        <f>IFERROR(__xludf.DUMMYFUNCTION("IF(ISBLANK(D215),""NA"", VLOOKUP(D215,IMPORTRANGE(""https://docs.google.com/spreadsheets/d/1EdCvim__xyxvoo9WoburDTzYylznTCOJBHcnu7eurMw/edit?gid=15948134#gid=15948134"", ""Input!A1:B2000""),2,FALSE()))"),"binary logistic regression model(s)")</f>
        <v>binary logistic regression model(s)</v>
      </c>
    </row>
    <row r="216" hidden="1">
      <c r="A216" s="26" t="s">
        <v>686</v>
      </c>
      <c r="B216" s="1">
        <v>14.0</v>
      </c>
      <c r="C216" s="8" t="s">
        <v>711</v>
      </c>
      <c r="D216" s="8" t="s">
        <v>709</v>
      </c>
      <c r="E216" s="9" t="s">
        <v>712</v>
      </c>
      <c r="F216" s="9" t="s">
        <v>713</v>
      </c>
      <c r="G216" s="8" t="s">
        <v>39</v>
      </c>
      <c r="H216" s="10" t="s">
        <v>691</v>
      </c>
      <c r="J216" s="8" t="str">
        <f>IFERROR(__xludf.DUMMYFUNCTION("IF(ISBLANK(F216),""NA"", VLOOKUP(F216,IMPORTRANGE(""https://docs.google.com/spreadsheets/d/1EdCvim__xyxvoo9WoburDTzYylznTCOJBHcnu7eurMw/edit?gid=15948134#gid=15948134"", ""Purpose!A1:B1000""),2,FALSE()))"),"to understand statistical significance")</f>
        <v>to understand statistical significance</v>
      </c>
      <c r="K216" s="8" t="str">
        <f>IFERROR(__xludf.DUMMYFUNCTION("IF(ISBLANK(E216),""NA"", VLOOKUP(E216,IMPORTRANGE(""https://docs.google.com/spreadsheets/d/1EdCvim__xyxvoo9WoburDTzYylznTCOJBHcnu7eurMw/edit?gid=15948134#gid=15948134"", ""Technique!A1:B2000""),2,FALSE()))"),"statistical test (Wald test)")</f>
        <v>statistical test (Wald test)</v>
      </c>
      <c r="L216" s="8" t="str">
        <f>IFERROR(__xludf.DUMMYFUNCTION("IF(ISBLANK(D216),""NA"", VLOOKUP(D216,IMPORTRANGE(""https://docs.google.com/spreadsheets/d/1EdCvim__xyxvoo9WoburDTzYylznTCOJBHcnu7eurMw/edit?gid=15948134#gid=15948134"", ""Input!A1:B2000""),2,FALSE()))"),"binary logistic regression model(s)")</f>
        <v>binary logistic regression model(s)</v>
      </c>
    </row>
    <row r="217" hidden="1">
      <c r="A217" s="26" t="s">
        <v>686</v>
      </c>
      <c r="B217" s="1" t="s">
        <v>714</v>
      </c>
      <c r="C217" s="1" t="s">
        <v>697</v>
      </c>
      <c r="D217" s="1" t="s">
        <v>205</v>
      </c>
      <c r="E217" s="9" t="s">
        <v>715</v>
      </c>
      <c r="F217" s="14" t="s">
        <v>716</v>
      </c>
      <c r="G217" s="1" t="s">
        <v>39</v>
      </c>
      <c r="H217" s="15" t="s">
        <v>691</v>
      </c>
      <c r="J217" s="8" t="str">
        <f>IFERROR(__xludf.DUMMYFUNCTION("IF(ISBLANK(F217),""NA"", VLOOKUP(F217,IMPORTRANGE(""https://docs.google.com/spreadsheets/d/1EdCvim__xyxvoo9WoburDTzYylznTCOJBHcnu7eurMw/edit?gid=15948134#gid=15948134"", ""Purpose!A1:B1000""),2,FALSE()))"),"to evaluate model(s) functionally (e.g., accuracy)")</f>
        <v>to evaluate model(s) functionally (e.g., accuracy)</v>
      </c>
      <c r="K217" s="8" t="str">
        <f>IFERROR(__xludf.DUMMYFUNCTION("IF(ISBLANK(E217),""NA"", VLOOKUP(E217,IMPORTRANGE(""https://docs.google.com/spreadsheets/d/1EdCvim__xyxvoo9WoburDTzYylznTCOJBHcnu7eurMw/edit?gid=15948134#gid=15948134"", ""Technique!A1:B2000""),2,FALSE()))"),"cross validation")</f>
        <v>cross validation</v>
      </c>
      <c r="L217" s="8" t="str">
        <f>IFERROR(__xludf.DUMMYFUNCTION("IF(ISBLANK(D217),""NA"", VLOOKUP(D217,IMPORTRANGE(""https://docs.google.com/spreadsheets/d/1EdCvim__xyxvoo9WoburDTzYylznTCOJBHcnu7eurMw/edit?gid=15948134#gid=15948134"", ""Input!A1:B2000""),2,FALSE()))"),"data")</f>
        <v>data</v>
      </c>
    </row>
    <row r="218" hidden="1">
      <c r="A218" s="26" t="s">
        <v>686</v>
      </c>
      <c r="B218" s="1" t="s">
        <v>717</v>
      </c>
      <c r="C218" s="1" t="s">
        <v>697</v>
      </c>
      <c r="D218" s="1" t="s">
        <v>205</v>
      </c>
      <c r="E218" s="14" t="s">
        <v>718</v>
      </c>
      <c r="F218" s="14" t="s">
        <v>716</v>
      </c>
      <c r="G218" s="1" t="s">
        <v>39</v>
      </c>
      <c r="H218" s="15" t="s">
        <v>691</v>
      </c>
      <c r="J218" s="8" t="str">
        <f>IFERROR(__xludf.DUMMYFUNCTION("IF(ISBLANK(F218),""NA"", VLOOKUP(F218,IMPORTRANGE(""https://docs.google.com/spreadsheets/d/1EdCvim__xyxvoo9WoburDTzYylznTCOJBHcnu7eurMw/edit?gid=15948134#gid=15948134"", ""Purpose!A1:B1000""),2,FALSE()))"),"to evaluate model(s) functionally (e.g., accuracy)")</f>
        <v>to evaluate model(s) functionally (e.g., accuracy)</v>
      </c>
      <c r="K218" s="8" t="str">
        <f>IFERROR(__xludf.DUMMYFUNCTION("IF(ISBLANK(E218),""NA"", VLOOKUP(E218,IMPORTRANGE(""https://docs.google.com/spreadsheets/d/1EdCvim__xyxvoo9WoburDTzYylznTCOJBHcnu7eurMw/edit?gid=15948134#gid=15948134"", ""Technique!A1:B2000""),2,FALSE()))"),"compute classical metrics (i.e., Precision, Recall)")</f>
        <v>compute classical metrics (i.e., Precision, Recall)</v>
      </c>
      <c r="L218" s="8" t="str">
        <f>IFERROR(__xludf.DUMMYFUNCTION("IF(ISBLANK(D218),""NA"", VLOOKUP(D218,IMPORTRANGE(""https://docs.google.com/spreadsheets/d/1EdCvim__xyxvoo9WoburDTzYylznTCOJBHcnu7eurMw/edit?gid=15948134#gid=15948134"", ""Input!A1:B2000""),2,FALSE()))"),"data")</f>
        <v>data</v>
      </c>
    </row>
    <row r="219" hidden="1">
      <c r="A219" s="26" t="s">
        <v>686</v>
      </c>
      <c r="B219" s="1">
        <v>10.0</v>
      </c>
      <c r="C219" s="1" t="s">
        <v>697</v>
      </c>
      <c r="D219" s="1" t="s">
        <v>719</v>
      </c>
      <c r="E219" s="14" t="s">
        <v>720</v>
      </c>
      <c r="F219" s="14" t="s">
        <v>721</v>
      </c>
      <c r="G219" s="1" t="s">
        <v>39</v>
      </c>
      <c r="H219" s="15" t="s">
        <v>691</v>
      </c>
      <c r="J219" s="8" t="str">
        <f>IFERROR(__xludf.DUMMYFUNCTION("IF(ISBLANK(F219),""NA"", VLOOKUP(F219,IMPORTRANGE(""https://docs.google.com/spreadsheets/d/1EdCvim__xyxvoo9WoburDTzYylznTCOJBHcnu7eurMw/edit?gid=15948134#gid=15948134"", ""Purpose!A1:B1000""),2,FALSE()))"),"to visualize results (i.e., tradeoff precision vs recall)")</f>
        <v>to visualize results (i.e., tradeoff precision vs recall)</v>
      </c>
      <c r="K219" s="8" t="str">
        <f>IFERROR(__xludf.DUMMYFUNCTION("IF(ISBLANK(E219),""NA"", VLOOKUP(E219,IMPORTRANGE(""https://docs.google.com/spreadsheets/d/1EdCvim__xyxvoo9WoburDTzYylznTCOJBHcnu7eurMw/edit?gid=15948134#gid=15948134"", ""Technique!A1:B2000""),2,FALSE()))"),"plot results (i.e., precision against recall)")</f>
        <v>plot results (i.e., precision against recall)</v>
      </c>
      <c r="L219" s="8" t="str">
        <f>IFERROR(__xludf.DUMMYFUNCTION("IF(ISBLANK(D219),""NA"", VLOOKUP(D219,IMPORTRANGE(""https://docs.google.com/spreadsheets/d/1EdCvim__xyxvoo9WoburDTzYylznTCOJBHcnu7eurMw/edit?gid=15948134#gid=15948134"", ""Input!A1:B2000""),2,FALSE()))"),"computed metrics")</f>
        <v>computed metrics</v>
      </c>
    </row>
    <row r="220" hidden="1">
      <c r="A220" s="27" t="s">
        <v>722</v>
      </c>
      <c r="B220" s="28" t="s">
        <v>723</v>
      </c>
      <c r="C220" s="1" t="s">
        <v>724</v>
      </c>
      <c r="D220" s="1" t="s">
        <v>725</v>
      </c>
      <c r="E220" s="14" t="s">
        <v>726</v>
      </c>
      <c r="F220" s="14" t="s">
        <v>727</v>
      </c>
      <c r="G220" s="1" t="s">
        <v>39</v>
      </c>
      <c r="H220" s="15" t="s">
        <v>728</v>
      </c>
      <c r="J220" s="8" t="str">
        <f>IFERROR(__xludf.DUMMYFUNCTION("IF(ISBLANK(F220),""NA"", VLOOKUP(F220,IMPORTRANGE(""https://docs.google.com/spreadsheets/d/1EdCvim__xyxvoo9WoburDTzYylznTCOJBHcnu7eurMw/edit?gid=15948134#gid=15948134"", ""Purpose!A1:B1000""),2,FALSE()))"),"to evaluate neuron coverage")</f>
        <v>to evaluate neuron coverage</v>
      </c>
      <c r="K220" s="8" t="str">
        <f>IFERROR(__xludf.DUMMYFUNCTION("IF(ISBLANK(E220),""NA"", VLOOKUP(E220,IMPORTRANGE(""https://docs.google.com/spreadsheets/d/1EdCvim__xyxvoo9WoburDTzYylznTCOJBHcnu7eurMw/edit?gid=15948134#gid=15948134"", ""Technique!A1:B2000""),2,FALSE()))"),"compute metric (i.e., neuron coverage)")</f>
        <v>compute metric (i.e., neuron coverage)</v>
      </c>
      <c r="L220" s="8" t="str">
        <f>IFERROR(__xludf.DUMMYFUNCTION("IF(ISBLANK(D220),""NA"", VLOOKUP(D220,IMPORTRANGE(""https://docs.google.com/spreadsheets/d/1EdCvim__xyxvoo9WoburDTzYylznTCOJBHcnu7eurMw/edit?gid=15948134#gid=15948134"", ""Input!A1:B2000""),2,FALSE()))"),"data + model(s)")</f>
        <v>data + model(s)</v>
      </c>
    </row>
    <row r="221" hidden="1">
      <c r="A221" s="27" t="s">
        <v>722</v>
      </c>
      <c r="B221" s="28" t="s">
        <v>729</v>
      </c>
      <c r="C221" s="23" t="s">
        <v>730</v>
      </c>
      <c r="D221" s="1" t="s">
        <v>725</v>
      </c>
      <c r="E221" s="14" t="s">
        <v>731</v>
      </c>
      <c r="F221" s="14" t="s">
        <v>732</v>
      </c>
      <c r="G221" s="1" t="s">
        <v>39</v>
      </c>
      <c r="H221" s="15" t="s">
        <v>728</v>
      </c>
      <c r="J221" s="8" t="str">
        <f>IFERROR(__xludf.DUMMYFUNCTION("IF(ISBLANK(F221),""NA"", VLOOKUP(F221,IMPORTRANGE(""https://docs.google.com/spreadsheets/d/1EdCvim__xyxvoo9WoburDTzYylznTCOJBHcnu7eurMw/edit?gid=15948134#gid=15948134"", ""Purpose!A1:B1000""),2,FALSE()))"),"to evaluate the model tests against adversarial attacks")</f>
        <v>to evaluate the model tests against adversarial attacks</v>
      </c>
      <c r="K221" s="8" t="str">
        <f>IFERROR(__xludf.DUMMYFUNCTION("IF(ISBLANK(E221),""NA"", VLOOKUP(E221,IMPORTRANGE(""https://docs.google.com/spreadsheets/d/1EdCvim__xyxvoo9WoburDTzYylznTCOJBHcnu7eurMw/edit?gid=15948134#gid=15948134"", ""Technique!A1:B2000""),2,FALSE()))"),"use adversarial attacks, Projected Gradient Descent adversarial attack")</f>
        <v>use adversarial attacks, Projected Gradient Descent adversarial attack</v>
      </c>
      <c r="L221" s="8" t="str">
        <f>IFERROR(__xludf.DUMMYFUNCTION("IF(ISBLANK(D221),""NA"", VLOOKUP(D221,IMPORTRANGE(""https://docs.google.com/spreadsheets/d/1EdCvim__xyxvoo9WoburDTzYylznTCOJBHcnu7eurMw/edit?gid=15948134#gid=15948134"", ""Input!A1:B2000""),2,FALSE()))"),"data + model(s)")</f>
        <v>data + model(s)</v>
      </c>
    </row>
    <row r="222" hidden="1">
      <c r="A222" s="27" t="s">
        <v>722</v>
      </c>
      <c r="B222" s="28" t="s">
        <v>733</v>
      </c>
      <c r="C222" s="1" t="s">
        <v>734</v>
      </c>
      <c r="D222" s="1" t="s">
        <v>503</v>
      </c>
      <c r="E222" s="14" t="s">
        <v>735</v>
      </c>
      <c r="F222" s="14" t="s">
        <v>736</v>
      </c>
      <c r="G222" s="1" t="s">
        <v>39</v>
      </c>
      <c r="H222" s="15" t="s">
        <v>728</v>
      </c>
      <c r="J222" s="8" t="str">
        <f>IFERROR(__xludf.DUMMYFUNCTION("IF(ISBLANK(F222),""NA"", VLOOKUP(F222,IMPORTRANGE(""https://docs.google.com/spreadsheets/d/1EdCvim__xyxvoo9WoburDTzYylznTCOJBHcnu7eurMw/edit?gid=15948134#gid=15948134"", ""Purpose!A1:B1000""),2,FALSE()))"),"to improve neuron coverage with adversarial attacks tests")</f>
        <v>to improve neuron coverage with adversarial attacks tests</v>
      </c>
      <c r="K222" s="8" t="str">
        <f>IFERROR(__xludf.DUMMYFUNCTION("IF(ISBLANK(E222),""NA"", VLOOKUP(E222,IMPORTRANGE(""https://docs.google.com/spreadsheets/d/1EdCvim__xyxvoo9WoburDTzYylznTCOJBHcnu7eurMw/edit?gid=15948134#gid=15948134"", ""Technique!A1:B2000""),2,FALSE()))"),"use adversarial attacks, extend Carlini-Wagner with diversity-promoting regularizer")</f>
        <v>use adversarial attacks, extend Carlini-Wagner with diversity-promoting regularizer</v>
      </c>
      <c r="L222" s="8" t="str">
        <f>IFERROR(__xludf.DUMMYFUNCTION("IF(ISBLANK(D222),""NA"", VLOOKUP(D222,IMPORTRANGE(""https://docs.google.com/spreadsheets/d/1EdCvim__xyxvoo9WoburDTzYylznTCOJBHcnu7eurMw/edit?gid=15948134#gid=15948134"", ""Input!A1:B2000""),2,FALSE()))"),"model(s)")</f>
        <v>model(s)</v>
      </c>
    </row>
    <row r="223" hidden="1">
      <c r="A223" s="27" t="s">
        <v>722</v>
      </c>
      <c r="B223" s="28" t="s">
        <v>737</v>
      </c>
      <c r="C223" s="1" t="s">
        <v>738</v>
      </c>
      <c r="D223" s="1" t="s">
        <v>739</v>
      </c>
      <c r="E223" s="16" t="s">
        <v>740</v>
      </c>
      <c r="F223" s="14" t="s">
        <v>741</v>
      </c>
      <c r="G223" s="1" t="s">
        <v>20</v>
      </c>
      <c r="H223" s="15" t="s">
        <v>728</v>
      </c>
      <c r="J223" s="8" t="str">
        <f>IFERROR(__xludf.DUMMYFUNCTION("IF(ISBLANK(F223),""NA"", VLOOKUP(F223,IMPORTRANGE(""https://docs.google.com/spreadsheets/d/1EdCvim__xyxvoo9WoburDTzYylznTCOJBHcnu7eurMw/edit?gid=15948134#gid=15948134"", ""Purpose!A1:B1000""),2,FALSE()))"),"to balance the data, test data")</f>
        <v>to balance the data, test data</v>
      </c>
      <c r="K223" s="8" t="str">
        <f>IFERROR(__xludf.DUMMYFUNCTION("IF(ISBLANK(E223),""NA"", VLOOKUP(E223,IMPORTRANGE(""https://docs.google.com/spreadsheets/d/1EdCvim__xyxvoo9WoburDTzYylznTCOJBHcnu7eurMw/edit?gid=15948134#gid=15948134"", ""Technique!A1:B2000""),2,FALSE()))"),"sample X data points randomly per each class")</f>
        <v>sample X data points randomly per each class</v>
      </c>
      <c r="L223" s="8" t="str">
        <f>IFERROR(__xludf.DUMMYFUNCTION("IF(ISBLANK(D223),""NA"", VLOOKUP(D223,IMPORTRANGE(""https://docs.google.com/spreadsheets/d/1EdCvim__xyxvoo9WoburDTzYylznTCOJBHcnu7eurMw/edit?gid=15948134#gid=15948134"", ""Input!A1:B2000""),2,FALSE()))"),"image data")</f>
        <v>image data</v>
      </c>
    </row>
    <row r="224" hidden="1">
      <c r="A224" s="27" t="s">
        <v>722</v>
      </c>
      <c r="B224" s="28" t="s">
        <v>742</v>
      </c>
      <c r="C224" s="1" t="s">
        <v>738</v>
      </c>
      <c r="D224" s="1" t="s">
        <v>743</v>
      </c>
      <c r="E224" s="14" t="s">
        <v>744</v>
      </c>
      <c r="F224" s="14" t="s">
        <v>745</v>
      </c>
      <c r="G224" s="1" t="s">
        <v>39</v>
      </c>
      <c r="H224" s="15" t="s">
        <v>728</v>
      </c>
      <c r="J224" s="8" t="str">
        <f>IFERROR(__xludf.DUMMYFUNCTION("IF(ISBLANK(F224),""NA"", VLOOKUP(F224,IMPORTRANGE(""https://docs.google.com/spreadsheets/d/1EdCvim__xyxvoo9WoburDTzYylznTCOJBHcnu7eurMw/edit?gid=15948134#gid=15948134"", ""Purpose!A1:B1000""),2,FALSE()))"),"to evaluate neuron coverage and sucess rate of adversarial attacks")</f>
        <v>to evaluate neuron coverage and sucess rate of adversarial attacks</v>
      </c>
      <c r="K224" s="8" t="str">
        <f>IFERROR(__xludf.DUMMYFUNCTION("IF(ISBLANK(E224),""NA"", VLOOKUP(E224,IMPORTRANGE(""https://docs.google.com/spreadsheets/d/1EdCvim__xyxvoo9WoburDTzYylznTCOJBHcnu7eurMw/edit?gid=15948134#gid=15948134"", ""Technique!A1:B2000""),2,FALSE()))"),"multiple runs/experiments in different test suits")</f>
        <v>multiple runs/experiments in different test suits</v>
      </c>
      <c r="L224" s="8" t="str">
        <f>IFERROR(__xludf.DUMMYFUNCTION("IF(ISBLANK(D224),""NA"", VLOOKUP(D224,IMPORTRANGE(""https://docs.google.com/spreadsheets/d/1EdCvim__xyxvoo9WoburDTzYylznTCOJBHcnu7eurMw/edit?gid=15948134#gid=15948134"", ""Input!A1:B2000""),2,FALSE()))"),"code data (test suits) + deep learning model(s)")</f>
        <v>code data (test suits) + deep learning model(s)</v>
      </c>
    </row>
    <row r="225" hidden="1">
      <c r="A225" s="27" t="s">
        <v>722</v>
      </c>
      <c r="B225" s="28" t="s">
        <v>746</v>
      </c>
      <c r="C225" s="1" t="s">
        <v>747</v>
      </c>
      <c r="D225" s="1" t="s">
        <v>748</v>
      </c>
      <c r="E225" s="14" t="s">
        <v>749</v>
      </c>
      <c r="F225" s="25" t="s">
        <v>750</v>
      </c>
      <c r="G225" s="23" t="s">
        <v>39</v>
      </c>
      <c r="H225" s="15" t="s">
        <v>728</v>
      </c>
      <c r="J225" s="8" t="str">
        <f>IFERROR(__xludf.DUMMYFUNCTION("IF(ISBLANK(F225),""NA"", VLOOKUP(F225,IMPORTRANGE(""https://docs.google.com/spreadsheets/d/1EdCvim__xyxvoo9WoburDTzYylznTCOJBHcnu7eurMw/edit?gid=15948134#gid=15948134"", ""Purpose!A1:B1000""),2,FALSE()))"),"to evaluate model(s) functionally (e.g., accuracy)")</f>
        <v>to evaluate model(s) functionally (e.g., accuracy)</v>
      </c>
      <c r="K225" s="8" t="str">
        <f>IFERROR(__xludf.DUMMYFUNCTION("IF(ISBLANK(E225),""NA"", VLOOKUP(E225,IMPORTRANGE(""https://docs.google.com/spreadsheets/d/1EdCvim__xyxvoo9WoburDTzYylznTCOJBHcnu7eurMw/edit?gid=15948134#gid=15948134"", ""Technique!A1:B2000""),2,FALSE()))"),"compute metrics (i.e., attack success rate, defect detection rate)")</f>
        <v>compute metrics (i.e., attack success rate, defect detection rate)</v>
      </c>
      <c r="L225" s="8" t="str">
        <f>IFERROR(__xludf.DUMMYFUNCTION("IF(ISBLANK(D225),""NA"", VLOOKUP(D225,IMPORTRANGE(""https://docs.google.com/spreadsheets/d/1EdCvim__xyxvoo9WoburDTzYylznTCOJBHcnu7eurMw/edit?gid=15948134#gid=15948134"", ""Input!A1:B2000""),2,FALSE()))"),"data + model(s)")</f>
        <v>data + model(s)</v>
      </c>
    </row>
    <row r="226" hidden="1">
      <c r="A226" s="27" t="s">
        <v>722</v>
      </c>
      <c r="B226" s="28" t="s">
        <v>751</v>
      </c>
      <c r="C226" s="1" t="s">
        <v>747</v>
      </c>
      <c r="D226" s="1" t="s">
        <v>748</v>
      </c>
      <c r="E226" s="25" t="s">
        <v>752</v>
      </c>
      <c r="F226" s="14" t="s">
        <v>753</v>
      </c>
      <c r="G226" s="23" t="s">
        <v>39</v>
      </c>
      <c r="H226" s="15" t="s">
        <v>728</v>
      </c>
      <c r="J226" s="8" t="str">
        <f>IFERROR(__xludf.DUMMYFUNCTION("IF(ISBLANK(F226),""NA"", VLOOKUP(F226,IMPORTRANGE(""https://docs.google.com/spreadsheets/d/1EdCvim__xyxvoo9WoburDTzYylznTCOJBHcnu7eurMw/edit?gid=15948134#gid=15948134"", ""Purpose!A1:B1000""),2,FALSE()))"),"to enable the evaluation of a regression task as a classification task")</f>
        <v>to enable the evaluation of a regression task as a classification task</v>
      </c>
      <c r="K226" s="8" t="str">
        <f>IFERROR(__xludf.DUMMYFUNCTION("IF(ISBLANK(E226),""NA"", VLOOKUP(E226,IMPORTRANGE(""https://docs.google.com/spreadsheets/d/1EdCvim__xyxvoo9WoburDTzYylznTCOJBHcnu7eurMw/edit?gid=15948134#gid=15948134"", ""Technique!A1:B2000""),2,FALSE()))"),"descritize regression values")</f>
        <v>descritize regression values</v>
      </c>
      <c r="L226" s="8" t="str">
        <f>IFERROR(__xludf.DUMMYFUNCTION("IF(ISBLANK(D226),""NA"", VLOOKUP(D226,IMPORTRANGE(""https://docs.google.com/spreadsheets/d/1EdCvim__xyxvoo9WoburDTzYylznTCOJBHcnu7eurMw/edit?gid=15948134#gid=15948134"", ""Input!A1:B2000""),2,FALSE()))"),"data + model(s)")</f>
        <v>data + model(s)</v>
      </c>
    </row>
    <row r="227" hidden="1">
      <c r="A227" s="27" t="s">
        <v>722</v>
      </c>
      <c r="B227" s="28" t="s">
        <v>754</v>
      </c>
      <c r="C227" s="1" t="s">
        <v>755</v>
      </c>
      <c r="D227" s="1" t="s">
        <v>739</v>
      </c>
      <c r="E227" s="14" t="s">
        <v>756</v>
      </c>
      <c r="F227" s="14" t="s">
        <v>757</v>
      </c>
      <c r="G227" s="1" t="s">
        <v>39</v>
      </c>
      <c r="H227" s="15" t="s">
        <v>728</v>
      </c>
      <c r="J227" s="8" t="str">
        <f>IFERROR(__xludf.DUMMYFUNCTION("IF(ISBLANK(F227),""NA"", VLOOKUP(F227,IMPORTRANGE(""https://docs.google.com/spreadsheets/d/1EdCvim__xyxvoo9WoburDTzYylznTCOJBHcnu7eurMw/edit?gid=15948134#gid=15948134"", ""Purpose!A1:B1000""),2,FALSE()))"),"to meassure naturalness of images")</f>
        <v>to meassure naturalness of images</v>
      </c>
      <c r="K227" s="8" t="str">
        <f>IFERROR(__xludf.DUMMYFUNCTION("IF(ISBLANK(E227),""NA"", VLOOKUP(E227,IMPORTRANGE(""https://docs.google.com/spreadsheets/d/1EdCvim__xyxvoo9WoburDTzYylznTCOJBHcnu7eurMw/edit?gid=15948134#gid=15948134"", ""Technique!A1:B2000""),2,FALSE()))"),"compute metrics (i.e., naturalness: inception score, Frèchet Inception Distance)")</f>
        <v>compute metrics (i.e., naturalness: inception score, Frèchet Inception Distance)</v>
      </c>
      <c r="L227" s="8" t="str">
        <f>IFERROR(__xludf.DUMMYFUNCTION("IF(ISBLANK(D227),""NA"", VLOOKUP(D227,IMPORTRANGE(""https://docs.google.com/spreadsheets/d/1EdCvim__xyxvoo9WoburDTzYylznTCOJBHcnu7eurMw/edit?gid=15948134#gid=15948134"", ""Input!A1:B2000""),2,FALSE()))"),"image data")</f>
        <v>image data</v>
      </c>
    </row>
    <row r="228" hidden="1">
      <c r="A228" s="27" t="s">
        <v>722</v>
      </c>
      <c r="B228" s="28" t="s">
        <v>758</v>
      </c>
      <c r="C228" s="23" t="s">
        <v>759</v>
      </c>
      <c r="D228" s="23" t="s">
        <v>760</v>
      </c>
      <c r="E228" s="25" t="s">
        <v>761</v>
      </c>
      <c r="F228" s="14" t="s">
        <v>762</v>
      </c>
      <c r="G228" s="23" t="s">
        <v>39</v>
      </c>
      <c r="H228" s="15" t="s">
        <v>728</v>
      </c>
      <c r="J228" s="8" t="str">
        <f>IFERROR(__xludf.DUMMYFUNCTION("IF(ISBLANK(F228),""NA"", VLOOKUP(F228,IMPORTRANGE(""https://docs.google.com/spreadsheets/d/1EdCvim__xyxvoo9WoburDTzYylznTCOJBHcnu7eurMw/edit?gid=15948134#gid=15948134"", ""Purpose!A1:B1000""),2,FALSE()))"),"to meassure the skewness of the output class distribution")</f>
        <v>to meassure the skewness of the output class distribution</v>
      </c>
      <c r="K228" s="8" t="str">
        <f>IFERROR(__xludf.DUMMYFUNCTION("IF(ISBLANK(E228),""NA"", VLOOKUP(E228,IMPORTRANGE(""https://docs.google.com/spreadsheets/d/1EdCvim__xyxvoo9WoburDTzYylznTCOJBHcnu7eurMw/edit?gid=15948134#gid=15948134"", ""Technique!A1:B2000""),2,FALSE()))"),"compute metrics (i.e., Pielou’s evenness score)")</f>
        <v>compute metrics (i.e., Pielou’s evenness score)</v>
      </c>
      <c r="L228" s="8" t="str">
        <f>IFERROR(__xludf.DUMMYFUNCTION("IF(ISBLANK(D228),""NA"", VLOOKUP(D228,IMPORTRANGE(""https://docs.google.com/spreadsheets/d/1EdCvim__xyxvoo9WoburDTzYylznTCOJBHcnu7eurMw/edit?gid=15948134#gid=15948134"", ""Input!A1:B2000""),2,FALSE()))"),"data + deep learning model(s)")</f>
        <v>data + deep learning model(s)</v>
      </c>
    </row>
    <row r="229" hidden="1">
      <c r="A229" s="27" t="s">
        <v>722</v>
      </c>
      <c r="B229" s="28" t="s">
        <v>763</v>
      </c>
      <c r="C229" s="1" t="s">
        <v>764</v>
      </c>
      <c r="D229" s="1" t="s">
        <v>765</v>
      </c>
      <c r="E229" s="14" t="s">
        <v>766</v>
      </c>
      <c r="F229" s="14" t="s">
        <v>767</v>
      </c>
      <c r="G229" s="1" t="s">
        <v>39</v>
      </c>
      <c r="H229" s="15" t="s">
        <v>728</v>
      </c>
      <c r="J229" s="8" t="str">
        <f>IFERROR(__xludf.DUMMYFUNCTION("IF(ISBLANK(F229),""NA"", VLOOKUP(F229,IMPORTRANGE(""https://docs.google.com/spreadsheets/d/1EdCvim__xyxvoo9WoburDTzYylznTCOJBHcnu7eurMw/edit?gid=15948134#gid=15948134"", ""Purpose!A1:B1000""),2,FALSE()))"),"to meassure the impartiality of model predictions")</f>
        <v>to meassure the impartiality of model predictions</v>
      </c>
      <c r="K229" s="8" t="str">
        <f>IFERROR(__xludf.DUMMYFUNCTION("IF(ISBLANK(E229),""NA"", VLOOKUP(E229,IMPORTRANGE(""https://docs.google.com/spreadsheets/d/1EdCvim__xyxvoo9WoburDTzYylznTCOJBHcnu7eurMw/edit?gid=15948134#gid=15948134"", ""Technique!A1:B2000""),2,FALSE()))"),"compute metrics (i.e., output impartiality)")</f>
        <v>compute metrics (i.e., output impartiality)</v>
      </c>
      <c r="L229" s="8" t="str">
        <f>IFERROR(__xludf.DUMMYFUNCTION("IF(ISBLANK(D229),""NA"", VLOOKUP(D229,IMPORTRANGE(""https://docs.google.com/spreadsheets/d/1EdCvim__xyxvoo9WoburDTzYylznTCOJBHcnu7eurMw/edit?gid=15948134#gid=15948134"", ""Input!A1:B2000""),2,FALSE()))"),"code data (test suits)")</f>
        <v>code data (test suits)</v>
      </c>
    </row>
    <row r="230" hidden="1">
      <c r="A230" s="27" t="s">
        <v>722</v>
      </c>
      <c r="B230" s="28" t="s">
        <v>768</v>
      </c>
      <c r="C230" s="1" t="s">
        <v>769</v>
      </c>
      <c r="D230" s="1" t="s">
        <v>770</v>
      </c>
      <c r="E230" s="14" t="s">
        <v>771</v>
      </c>
      <c r="F230" s="14" t="s">
        <v>772</v>
      </c>
      <c r="G230" s="1" t="s">
        <v>39</v>
      </c>
      <c r="H230" s="15" t="s">
        <v>728</v>
      </c>
      <c r="J230" s="8" t="str">
        <f>IFERROR(__xludf.DUMMYFUNCTION("IF(ISBLANK(F230),""NA"", VLOOKUP(F230,IMPORTRANGE(""https://docs.google.com/spreadsheets/d/1EdCvim__xyxvoo9WoburDTzYylznTCOJBHcnu7eurMw/edit?gid=15948134#gid=15948134"", ""Purpose!A1:B1000""),2,FALSE()))"),"to meassure the likelihood of being over-represented")</f>
        <v>to meassure the likelihood of being over-represented</v>
      </c>
      <c r="K230" s="8" t="str">
        <f>IFERROR(__xludf.DUMMYFUNCTION("IF(ISBLANK(E230),""NA"", VLOOKUP(E230,IMPORTRANGE(""https://docs.google.com/spreadsheets/d/1EdCvim__xyxvoo9WoburDTzYylznTCOJBHcnu7eurMw/edit?gid=15948134#gid=15948134"", ""Technique!A1:B2000""),2,FALSE()))"),"compute metric (i.e., neuron coverage rank)")</f>
        <v>compute metric (i.e., neuron coverage rank)</v>
      </c>
      <c r="L230" s="8" t="str">
        <f>IFERROR(__xludf.DUMMYFUNCTION("IF(ISBLANK(D230),""NA"", VLOOKUP(D230,IMPORTRANGE(""https://docs.google.com/spreadsheets/d/1EdCvim__xyxvoo9WoburDTzYylznTCOJBHcnu7eurMw/edit?gid=15948134#gid=15948134"", ""Input!A1:B2000""),2,FALSE()))"),"data (test set)")</f>
        <v>data (test set)</v>
      </c>
    </row>
    <row r="231" hidden="1">
      <c r="A231" s="27" t="s">
        <v>722</v>
      </c>
      <c r="B231" s="28" t="s">
        <v>773</v>
      </c>
      <c r="C231" s="23" t="s">
        <v>774</v>
      </c>
      <c r="D231" s="23" t="s">
        <v>33</v>
      </c>
      <c r="E231" s="25" t="s">
        <v>775</v>
      </c>
      <c r="F231" s="14" t="s">
        <v>98</v>
      </c>
      <c r="G231" s="23" t="s">
        <v>44</v>
      </c>
      <c r="H231" s="15" t="s">
        <v>728</v>
      </c>
      <c r="J231" s="8" t="str">
        <f>IFERROR(__xludf.DUMMYFUNCTION("IF(ISBLANK(F231),""NA"", VLOOKUP(F231,IMPORTRANGE(""https://docs.google.com/spreadsheets/d/1EdCvim__xyxvoo9WoburDTzYylznTCOJBHcnu7eurMw/edit?gid=15948134#gid=15948134"", ""Purpose!A1:B1000""),2,FALSE()))"),"to collect data")</f>
        <v>to collect data</v>
      </c>
      <c r="K231" s="8" t="str">
        <f>IFERROR(__xludf.DUMMYFUNCTION("IF(ISBLANK(E231),""NA"", VLOOKUP(E231,IMPORTRANGE(""https://docs.google.com/spreadsheets/d/1EdCvim__xyxvoo9WoburDTzYylznTCOJBHcnu7eurMw/edit?gid=15948134#gid=15948134"", ""Technique!A1:B2000""),2,FALSE()))"),"use existing datasets, datasets (CIFAR,  MNIST, UDACITY SELF DRIVIG CAR)")</f>
        <v>use existing datasets, datasets (CIFAR,  MNIST, UDACITY SELF DRIVIG CAR)</v>
      </c>
      <c r="L231" s="8" t="str">
        <f>IFERROR(__xludf.DUMMYFUNCTION("IF(ISBLANK(D231),""NA"", VLOOKUP(D231,IMPORTRANGE(""https://docs.google.com/spreadsheets/d/1EdCvim__xyxvoo9WoburDTzYylznTCOJBHcnu7eurMw/edit?gid=15948134#gid=15948134"", ""Input!A1:B2000""),2,FALSE()))"),"")</f>
        <v/>
      </c>
    </row>
    <row r="232" hidden="1">
      <c r="A232" s="27" t="s">
        <v>722</v>
      </c>
      <c r="B232" s="28" t="s">
        <v>776</v>
      </c>
      <c r="C232" s="23" t="s">
        <v>730</v>
      </c>
      <c r="D232" s="23" t="s">
        <v>777</v>
      </c>
      <c r="E232" s="24" t="s">
        <v>778</v>
      </c>
      <c r="F232" s="14" t="s">
        <v>779</v>
      </c>
      <c r="G232" s="1" t="s">
        <v>39</v>
      </c>
      <c r="H232" s="15" t="s">
        <v>728</v>
      </c>
      <c r="J232" s="8" t="str">
        <f>IFERROR(__xludf.DUMMYFUNCTION("IF(ISBLANK(F232),""NA"", VLOOKUP(F232,IMPORTRANGE(""https://docs.google.com/spreadsheets/d/1EdCvim__xyxvoo9WoburDTzYylznTCOJBHcnu7eurMw/edit?gid=15948134#gid=15948134"", ""Purpose!A1:B1000""),2,FALSE()))"),"to evaluate classification models with adversarial examples")</f>
        <v>to evaluate classification models with adversarial examples</v>
      </c>
      <c r="K232" s="8" t="str">
        <f>IFERROR(__xludf.DUMMYFUNCTION("IF(ISBLANK(E232),""NA"", VLOOKUP(E232,IMPORTRANGE(""https://docs.google.com/spreadsheets/d/1EdCvim__xyxvoo9WoburDTzYylznTCOJBHcnu7eurMw/edit?gid=15948134#gid=15948134"", ""Technique!A1:B2000""),2,FALSE()))"),"report model fine details (e.g.,  Carlini and Wagner loss)")</f>
        <v>report model fine details (e.g.,  Carlini and Wagner loss)</v>
      </c>
      <c r="L232" s="8" t="str">
        <f>IFERROR(__xludf.DUMMYFUNCTION("IF(ISBLANK(D232),""NA"", VLOOKUP(D232,IMPORTRANGE(""https://docs.google.com/spreadsheets/d/1EdCvim__xyxvoo9WoburDTzYylznTCOJBHcnu7eurMw/edit?gid=15948134#gid=15948134"", ""Input!A1:B2000""),2,FALSE()))"),"data + deep learning model(s) + adversarial attack (Carlini-Wagner)")</f>
        <v>data + deep learning model(s) + adversarial attack (Carlini-Wagner)</v>
      </c>
    </row>
    <row r="233" hidden="1">
      <c r="A233" s="27" t="s">
        <v>722</v>
      </c>
      <c r="B233" s="28" t="s">
        <v>780</v>
      </c>
      <c r="C233" s="23" t="s">
        <v>730</v>
      </c>
      <c r="D233" s="23" t="s">
        <v>781</v>
      </c>
      <c r="E233" s="24" t="s">
        <v>782</v>
      </c>
      <c r="F233" s="14" t="s">
        <v>783</v>
      </c>
      <c r="G233" s="1" t="s">
        <v>39</v>
      </c>
      <c r="H233" s="15" t="s">
        <v>728</v>
      </c>
      <c r="J233" s="8" t="str">
        <f>IFERROR(__xludf.DUMMYFUNCTION("IF(ISBLANK(F233),""NA"", VLOOKUP(F233,IMPORTRANGE(""https://docs.google.com/spreadsheets/d/1EdCvim__xyxvoo9WoburDTzYylznTCOJBHcnu7eurMw/edit?gid=15948134#gid=15948134"", ""Purpose!A1:B1000""),2,FALSE()))"),"to evaluate classification models")</f>
        <v>to evaluate classification models</v>
      </c>
      <c r="K233" s="8" t="str">
        <f>IFERROR(__xludf.DUMMYFUNCTION("IF(ISBLANK(E233),""NA"", VLOOKUP(E233,IMPORTRANGE(""https://docs.google.com/spreadsheets/d/1EdCvim__xyxvoo9WoburDTzYylznTCOJBHcnu7eurMw/edit?gid=15948134#gid=15948134"", ""Technique!A1:B2000""),2,FALSE()))"),"report model fine details (e.g., loss: use as loss the Cross entropy loss)")</f>
        <v>report model fine details (e.g., loss: use as loss the Cross entropy loss)</v>
      </c>
      <c r="L233" s="8" t="str">
        <f>IFERROR(__xludf.DUMMYFUNCTION("IF(ISBLANK(D233),""NA"", VLOOKUP(D233,IMPORTRANGE(""https://docs.google.com/spreadsheets/d/1EdCvim__xyxvoo9WoburDTzYylznTCOJBHcnu7eurMw/edit?gid=15948134#gid=15948134"", ""Input!A1:B2000""),2,FALSE()))"),"data + deep learning model(s) + adversarial attack (Projected Gradient Descent)")</f>
        <v>data + deep learning model(s) + adversarial attack (Projected Gradient Descent)</v>
      </c>
    </row>
    <row r="234" hidden="1">
      <c r="A234" s="27" t="s">
        <v>722</v>
      </c>
      <c r="B234" s="28" t="s">
        <v>784</v>
      </c>
      <c r="C234" s="23" t="s">
        <v>730</v>
      </c>
      <c r="D234" s="23" t="s">
        <v>781</v>
      </c>
      <c r="E234" s="24" t="s">
        <v>785</v>
      </c>
      <c r="F234" s="25" t="s">
        <v>786</v>
      </c>
      <c r="G234" s="1" t="s">
        <v>39</v>
      </c>
      <c r="H234" s="15" t="s">
        <v>728</v>
      </c>
      <c r="J234" s="8" t="str">
        <f>IFERROR(__xludf.DUMMYFUNCTION("IF(ISBLANK(F234),""NA"", VLOOKUP(F234,IMPORTRANGE(""https://docs.google.com/spreadsheets/d/1EdCvim__xyxvoo9WoburDTzYylznTCOJBHcnu7eurMw/edit?gid=15948134#gid=15948134"", ""Purpose!A1:B1000""),2,FALSE()))"),"to evaluate regression models")</f>
        <v>to evaluate regression models</v>
      </c>
      <c r="K234" s="8" t="str">
        <f>IFERROR(__xludf.DUMMYFUNCTION("IF(ISBLANK(E234),""NA"", VLOOKUP(E234,IMPORTRANGE(""https://docs.google.com/spreadsheets/d/1EdCvim__xyxvoo9WoburDTzYylznTCOJBHcnu7eurMw/edit?gid=15948134#gid=15948134"", ""Technique!A1:B2000""),2,FALSE()))"),"report model fine details (e.g., loss: use as loss the mean square error)")</f>
        <v>report model fine details (e.g., loss: use as loss the mean square error)</v>
      </c>
      <c r="L234" s="8" t="str">
        <f>IFERROR(__xludf.DUMMYFUNCTION("IF(ISBLANK(D234),""NA"", VLOOKUP(D234,IMPORTRANGE(""https://docs.google.com/spreadsheets/d/1EdCvim__xyxvoo9WoburDTzYylznTCOJBHcnu7eurMw/edit?gid=15948134#gid=15948134"", ""Input!A1:B2000""),2,FALSE()))"),"data + deep learning model(s) + adversarial attack (Projected Gradient Descent)")</f>
        <v>data + deep learning model(s) + adversarial attack (Projected Gradient Descent)</v>
      </c>
    </row>
    <row r="235" hidden="1">
      <c r="A235" s="27" t="s">
        <v>722</v>
      </c>
      <c r="B235" s="28" t="s">
        <v>787</v>
      </c>
      <c r="C235" s="23" t="s">
        <v>730</v>
      </c>
      <c r="D235" s="23" t="s">
        <v>788</v>
      </c>
      <c r="E235" s="25" t="s">
        <v>789</v>
      </c>
      <c r="F235" s="14" t="s">
        <v>790</v>
      </c>
      <c r="G235" s="23" t="s">
        <v>39</v>
      </c>
      <c r="H235" s="15" t="s">
        <v>728</v>
      </c>
      <c r="J235" s="8" t="str">
        <f>IFERROR(__xludf.DUMMYFUNCTION("IF(ISBLANK(F235),""NA"", VLOOKUP(F235,IMPORTRANGE(""https://docs.google.com/spreadsheets/d/1EdCvim__xyxvoo9WoburDTzYylznTCOJBHcnu7eurMw/edit?gid=15948134#gid=15948134"", ""Purpose!A1:B1000""),2,FALSE()))"),"to understand how different perturbation attacks affectts the neuron coverage")</f>
        <v>to understand how different perturbation attacks affectts the neuron coverage</v>
      </c>
      <c r="K235" s="8" t="str">
        <f>IFERROR(__xludf.DUMMYFUNCTION("IF(ISBLANK(E235),""NA"", VLOOKUP(E235,IMPORTRANGE(""https://docs.google.com/spreadsheets/d/1EdCvim__xyxvoo9WoburDTzYylznTCOJBHcnu7eurMw/edit?gid=15948134#gid=15948134"", ""Technique!A1:B2000""),2,FALSE()))"),"use adversarial attacks, different perturbation limits")</f>
        <v>use adversarial attacks, different perturbation limits</v>
      </c>
      <c r="L235" s="8" t="str">
        <f>IFERROR(__xludf.DUMMYFUNCTION("IF(ISBLANK(D235),""NA"", VLOOKUP(D235,IMPORTRANGE(""https://docs.google.com/spreadsheets/d/1EdCvim__xyxvoo9WoburDTzYylznTCOJBHcnu7eurMw/edit?gid=15948134#gid=15948134"", ""Input!A1:B2000""),2,FALSE()))"),"data + deep learning model(s) + adversarial attack (Projected Gradient Descent)")</f>
        <v>data + deep learning model(s) + adversarial attack (Projected Gradient Descent)</v>
      </c>
    </row>
    <row r="236" hidden="1">
      <c r="A236" s="27" t="s">
        <v>722</v>
      </c>
      <c r="B236" s="28" t="s">
        <v>791</v>
      </c>
      <c r="C236" s="23" t="s">
        <v>734</v>
      </c>
      <c r="D236" s="1" t="s">
        <v>792</v>
      </c>
      <c r="E236" s="24" t="s">
        <v>793</v>
      </c>
      <c r="F236" s="14" t="s">
        <v>794</v>
      </c>
      <c r="G236" s="1" t="s">
        <v>54</v>
      </c>
      <c r="H236" s="15" t="s">
        <v>728</v>
      </c>
      <c r="J236" s="8" t="str">
        <f>IFERROR(__xludf.DUMMYFUNCTION("IF(ISBLANK(F236),""NA"", VLOOKUP(F236,IMPORTRANGE(""https://docs.google.com/spreadsheets/d/1EdCvim__xyxvoo9WoburDTzYylznTCOJBHcnu7eurMw/edit?gid=15948134#gid=15948134"", ""Purpose!A1:B1000""),2,FALSE()))"),"to implement the divergence function for penalization of skewed activations")</f>
        <v>to implement the divergence function for penalization of skewed activations</v>
      </c>
      <c r="K236" s="8" t="str">
        <f>IFERROR(__xludf.DUMMYFUNCTION("IF(ISBLANK(E236),""NA"", VLOOKUP(E236,IMPORTRANGE(""https://docs.google.com/spreadsheets/d/1EdCvim__xyxvoo9WoburDTzYylznTCOJBHcnu7eurMw/edit?gid=15948134#gid=15948134"", ""Technique!A1:B2000""),2,FALSE()))"),"use Kullback-Lieber function")</f>
        <v>use Kullback-Lieber function</v>
      </c>
      <c r="L236" s="8" t="str">
        <f>IFERROR(__xludf.DUMMYFUNCTION("IF(ISBLANK(D236),""NA"", VLOOKUP(D236,IMPORTRANGE(""https://docs.google.com/spreadsheets/d/1EdCvim__xyxvoo9WoburDTzYylznTCOJBHcnu7eurMw/edit?gid=15948134#gid=15948134"", ""Input!A1:B2000""),2,FALSE()))"),"deep learning model(s)")</f>
        <v>deep learning model(s)</v>
      </c>
    </row>
    <row r="237" hidden="1">
      <c r="A237" s="27" t="s">
        <v>722</v>
      </c>
      <c r="B237" s="28" t="s">
        <v>795</v>
      </c>
      <c r="C237" s="23" t="s">
        <v>738</v>
      </c>
      <c r="D237" s="23" t="s">
        <v>796</v>
      </c>
      <c r="E237" s="14" t="s">
        <v>797</v>
      </c>
      <c r="F237" s="14" t="s">
        <v>798</v>
      </c>
      <c r="G237" s="23" t="s">
        <v>39</v>
      </c>
      <c r="H237" s="15" t="s">
        <v>728</v>
      </c>
      <c r="J237" s="8" t="str">
        <f>IFERROR(__xludf.DUMMYFUNCTION("IF(ISBLANK(F237),""NA"", VLOOKUP(F237,IMPORTRANGE(""https://docs.google.com/spreadsheets/d/1EdCvim__xyxvoo9WoburDTzYylznTCOJBHcnu7eurMw/edit?gid=15948134#gid=15948134"", ""Purpose!A1:B1000""),2,FALSE()))"),"to remove the noise in data and results")</f>
        <v>to remove the noise in data and results</v>
      </c>
      <c r="K237" s="8" t="str">
        <f>IFERROR(__xludf.DUMMYFUNCTION("IF(ISBLANK(E237),""NA"", VLOOKUP(E237,IMPORTRANGE(""https://docs.google.com/spreadsheets/d/1EdCvim__xyxvoo9WoburDTzYylznTCOJBHcnu7eurMw/edit?gid=15948134#gid=15948134"", ""Technique!A1:B2000""),2,FALSE()))"),"discard non significant results (p-value &gt;0.05)")</f>
        <v>discard non significant results (p-value &gt;0.05)</v>
      </c>
      <c r="L237" s="8" t="str">
        <f>IFERROR(__xludf.DUMMYFUNCTION("IF(ISBLANK(D237),""NA"", VLOOKUP(D237,IMPORTRANGE(""https://docs.google.com/spreadsheets/d/1EdCvim__xyxvoo9WoburDTzYylznTCOJBHcnu7eurMw/edit?gid=15948134#gid=15948134"", ""Input!A1:B2000""),2,FALSE()))"),"computed neuron coverage + p-values of them")</f>
        <v>computed neuron coverage + p-values of them</v>
      </c>
    </row>
    <row r="238" hidden="1">
      <c r="A238" s="27" t="s">
        <v>799</v>
      </c>
      <c r="B238" s="1" t="s">
        <v>515</v>
      </c>
      <c r="C238" s="1" t="s">
        <v>515</v>
      </c>
      <c r="H238" s="10"/>
      <c r="J238" s="8" t="str">
        <f>IFERROR(__xludf.DUMMYFUNCTION("IF(ISBLANK(F238),""NA"", VLOOKUP(F238,IMPORTRANGE(""https://docs.google.com/spreadsheets/d/1EdCvim__xyxvoo9WoburDTzYylznTCOJBHcnu7eurMw/edit?gid=15948134#gid=15948134"", ""Purpose!A1:B1000""),2,FALSE()))"),"NA")</f>
        <v>NA</v>
      </c>
      <c r="K238" s="8" t="str">
        <f>IFERROR(__xludf.DUMMYFUNCTION("IF(ISBLANK(E238),""NA"", VLOOKUP(E238,IMPORTRANGE(""https://docs.google.com/spreadsheets/d/1EdCvim__xyxvoo9WoburDTzYylznTCOJBHcnu7eurMw/edit?gid=15948134#gid=15948134"", ""Technique!A1:B2000""),2,FALSE()))"),"NA")</f>
        <v>NA</v>
      </c>
      <c r="L238" s="8" t="str">
        <f>IFERROR(__xludf.DUMMYFUNCTION("IF(ISBLANK(D238),""NA"", VLOOKUP(D238,IMPORTRANGE(""https://docs.google.com/spreadsheets/d/1EdCvim__xyxvoo9WoburDTzYylznTCOJBHcnu7eurMw/edit?gid=15948134#gid=15948134"", ""Input!A1:B2000""),2,FALSE()))"),"NA")</f>
        <v>NA</v>
      </c>
    </row>
    <row r="239" hidden="1">
      <c r="A239" s="27" t="s">
        <v>800</v>
      </c>
      <c r="B239" s="28" t="s">
        <v>801</v>
      </c>
      <c r="C239" s="1" t="s">
        <v>802</v>
      </c>
      <c r="D239" s="1" t="s">
        <v>803</v>
      </c>
      <c r="E239" s="14" t="s">
        <v>804</v>
      </c>
      <c r="F239" s="14" t="s">
        <v>805</v>
      </c>
      <c r="G239" s="1" t="s">
        <v>14</v>
      </c>
      <c r="H239" s="15" t="s">
        <v>806</v>
      </c>
      <c r="J239" s="8" t="str">
        <f>IFERROR(__xludf.DUMMYFUNCTION("IF(ISBLANK(F239),""NA"", VLOOKUP(F239,IMPORTRANGE(""https://docs.google.com/spreadsheets/d/1EdCvim__xyxvoo9WoburDTzYylznTCOJBHcnu7eurMw/edit?gid=15948134#gid=15948134"", ""Purpose!A1:B1000""),2,FALSE()))"),"to compute numerical features")</f>
        <v>to compute numerical features</v>
      </c>
      <c r="K239" s="8" t="str">
        <f>IFERROR(__xludf.DUMMYFUNCTION("IF(ISBLANK(E239),""NA"", VLOOKUP(E239,IMPORTRANGE(""https://docs.google.com/spreadsheets/d/1EdCvim__xyxvoo9WoburDTzYylznTCOJBHcnu7eurMw/edit?gid=15948134#gid=15948134"", ""Technique!A1:B2000""),2,FALSE()))"),"compute Chidamber and Kemerer metrics")</f>
        <v>compute Chidamber and Kemerer metrics</v>
      </c>
      <c r="L239" s="8" t="str">
        <f>IFERROR(__xludf.DUMMYFUNCTION("IF(ISBLANK(D239),""NA"", VLOOKUP(D239,IMPORTRANGE(""https://docs.google.com/spreadsheets/d/1EdCvim__xyxvoo9WoburDTzYylznTCOJBHcnu7eurMw/edit?gid=15948134#gid=15948134"", ""Input!A1:B2000""),2,FALSE()))"),"code data")</f>
        <v>code data</v>
      </c>
    </row>
    <row r="240" hidden="1">
      <c r="A240" s="27" t="s">
        <v>800</v>
      </c>
      <c r="B240" s="28" t="s">
        <v>807</v>
      </c>
      <c r="C240" s="1" t="s">
        <v>808</v>
      </c>
      <c r="D240" s="1" t="s">
        <v>809</v>
      </c>
      <c r="E240" s="14" t="s">
        <v>810</v>
      </c>
      <c r="F240" s="14" t="s">
        <v>98</v>
      </c>
      <c r="G240" s="1" t="s">
        <v>44</v>
      </c>
      <c r="H240" s="15" t="s">
        <v>806</v>
      </c>
      <c r="J240" s="8" t="str">
        <f>IFERROR(__xludf.DUMMYFUNCTION("IF(ISBLANK(F240),""NA"", VLOOKUP(F240,IMPORTRANGE(""https://docs.google.com/spreadsheets/d/1EdCvim__xyxvoo9WoburDTzYylznTCOJBHcnu7eurMw/edit?gid=15948134#gid=15948134"", ""Purpose!A1:B1000""),2,FALSE()))"),"to collect data")</f>
        <v>to collect data</v>
      </c>
      <c r="K240" s="8" t="str">
        <f>IFERROR(__xludf.DUMMYFUNCTION("IF(ISBLANK(E240),""NA"", VLOOKUP(E240,IMPORTRANGE(""https://docs.google.com/spreadsheets/d/1EdCvim__xyxvoo9WoburDTzYylznTCOJBHcnu7eurMw/edit?gid=15948134#gid=15948134"", ""Technique!A1:B2000""),2,FALSE()))"),"consider temporal aspects when collecting data")</f>
        <v>consider temporal aspects when collecting data</v>
      </c>
      <c r="L240" s="8" t="str">
        <f>IFERROR(__xludf.DUMMYFUNCTION("IF(ISBLANK(D240),""NA"", VLOOKUP(D240,IMPORTRANGE(""https://docs.google.com/spreadsheets/d/1EdCvim__xyxvoo9WoburDTzYylznTCOJBHcnu7eurMw/edit?gid=15948134#gid=15948134"", ""Input!A1:B2000""),2,FALSE()))"),"code data (code from a repository)")</f>
        <v>code data (code from a repository)</v>
      </c>
    </row>
    <row r="241" hidden="1">
      <c r="A241" s="27" t="s">
        <v>800</v>
      </c>
      <c r="B241" s="28" t="s">
        <v>811</v>
      </c>
      <c r="C241" s="23" t="s">
        <v>808</v>
      </c>
      <c r="D241" s="23" t="s">
        <v>33</v>
      </c>
      <c r="E241" s="24" t="s">
        <v>812</v>
      </c>
      <c r="F241" s="14" t="s">
        <v>813</v>
      </c>
      <c r="G241" s="23" t="s">
        <v>20</v>
      </c>
      <c r="H241" s="20" t="s">
        <v>806</v>
      </c>
      <c r="J241" s="8" t="str">
        <f>IFERROR(__xludf.DUMMYFUNCTION("IF(ISBLANK(F241),""NA"", VLOOKUP(F241,IMPORTRANGE(""https://docs.google.com/spreadsheets/d/1EdCvim__xyxvoo9WoburDTzYylznTCOJBHcnu7eurMw/edit?gid=15948134#gid=15948134"", ""Purpose!A1:B1000""),2,FALSE()))"),"to avoid data leakage, when doing cross validation")</f>
        <v>to avoid data leakage, when doing cross validation</v>
      </c>
      <c r="K241" s="8" t="str">
        <f>IFERROR(__xludf.DUMMYFUNCTION("IF(ISBLANK(E241),""NA"", VLOOKUP(E241,IMPORTRANGE(""https://docs.google.com/spreadsheets/d/1EdCvim__xyxvoo9WoburDTzYylznTCOJBHcnu7eurMw/edit?gid=15948134#gid=15948134"", ""Technique!A1:B2000""),2,FALSE()))"),"split data into train and test data, avoiding overlapping")</f>
        <v>split data into train and test data, avoiding overlapping</v>
      </c>
      <c r="L241" s="8" t="str">
        <f>IFERROR(__xludf.DUMMYFUNCTION("IF(ISBLANK(D241),""NA"", VLOOKUP(D241,IMPORTRANGE(""https://docs.google.com/spreadsheets/d/1EdCvim__xyxvoo9WoburDTzYylznTCOJBHcnu7eurMw/edit?gid=15948134#gid=15948134"", ""Input!A1:B2000""),2,FALSE()))"),"")</f>
        <v/>
      </c>
    </row>
    <row r="242" hidden="1">
      <c r="A242" s="27" t="s">
        <v>800</v>
      </c>
      <c r="B242" s="28" t="s">
        <v>814</v>
      </c>
      <c r="C242" s="23" t="s">
        <v>815</v>
      </c>
      <c r="D242" s="23" t="s">
        <v>33</v>
      </c>
      <c r="E242" s="25" t="s">
        <v>816</v>
      </c>
      <c r="F242" s="14" t="s">
        <v>98</v>
      </c>
      <c r="G242" s="23" t="s">
        <v>44</v>
      </c>
      <c r="H242" s="20" t="s">
        <v>806</v>
      </c>
      <c r="J242" s="8" t="str">
        <f>IFERROR(__xludf.DUMMYFUNCTION("IF(ISBLANK(F242),""NA"", VLOOKUP(F242,IMPORTRANGE(""https://docs.google.com/spreadsheets/d/1EdCvim__xyxvoo9WoburDTzYylznTCOJBHcnu7eurMw/edit?gid=15948134#gid=15948134"", ""Purpose!A1:B1000""),2,FALSE()))"),"to collect data")</f>
        <v>to collect data</v>
      </c>
      <c r="K242" s="8" t="str">
        <f>IFERROR(__xludf.DUMMYFUNCTION("IF(ISBLANK(E242),""NA"", VLOOKUP(E242,IMPORTRANGE(""https://docs.google.com/spreadsheets/d/1EdCvim__xyxvoo9WoburDTzYylznTCOJBHcnu7eurMw/edit?gid=15948134#gid=15948134"", ""Technique!A1:B2000""),2,FALSE()))"),"collect own data from open-source projects")</f>
        <v>collect own data from open-source projects</v>
      </c>
      <c r="L242" s="8" t="str">
        <f>IFERROR(__xludf.DUMMYFUNCTION("IF(ISBLANK(D242),""NA"", VLOOKUP(D242,IMPORTRANGE(""https://docs.google.com/spreadsheets/d/1EdCvim__xyxvoo9WoburDTzYylznTCOJBHcnu7eurMw/edit?gid=15948134#gid=15948134"", ""Input!A1:B2000""),2,FALSE()))"),"")</f>
        <v/>
      </c>
    </row>
    <row r="243" hidden="1">
      <c r="A243" s="27" t="s">
        <v>800</v>
      </c>
      <c r="B243" s="28" t="s">
        <v>817</v>
      </c>
      <c r="C243" s="1" t="s">
        <v>818</v>
      </c>
      <c r="E243" s="14" t="s">
        <v>819</v>
      </c>
      <c r="G243" s="1" t="s">
        <v>39</v>
      </c>
      <c r="H243" s="20" t="s">
        <v>806</v>
      </c>
      <c r="J243" s="8" t="str">
        <f>IFERROR(__xludf.DUMMYFUNCTION("IF(ISBLANK(F243),""NA"", VLOOKUP(F243,IMPORTRANGE(""https://docs.google.com/spreadsheets/d/1EdCvim__xyxvoo9WoburDTzYylznTCOJBHcnu7eurMw/edit?gid=15948134#gid=15948134"", ""Purpose!A1:B1000""),2,FALSE()))"),"NA")</f>
        <v>NA</v>
      </c>
      <c r="K243" s="8" t="str">
        <f>IFERROR(__xludf.DUMMYFUNCTION("IF(ISBLANK(E243),""NA"", VLOOKUP(E243,IMPORTRANGE(""https://docs.google.com/spreadsheets/d/1EdCvim__xyxvoo9WoburDTzYylznTCOJBHcnu7eurMw/edit?gid=15948134#gid=15948134"", ""Technique!A1:B2000""),2,FALSE()))"),"compare with baseline model(s), statistical learning (Simple logistic, Naive Bayes, SVM), clustering technique (expected Maximization, Sequential Minimal Optimization)")</f>
        <v>compare with baseline model(s), statistical learning (Simple logistic, Naive Bayes, SVM), clustering technique (expected Maximization, Sequential Minimal Optimization)</v>
      </c>
      <c r="L243" s="8" t="str">
        <f>IFERROR(__xludf.DUMMYFUNCTION("IF(ISBLANK(D243),""NA"", VLOOKUP(D243,IMPORTRANGE(""https://docs.google.com/spreadsheets/d/1EdCvim__xyxvoo9WoburDTzYylznTCOJBHcnu7eurMw/edit?gid=15948134#gid=15948134"", ""Input!A1:B2000""),2,FALSE()))"),"NA")</f>
        <v>NA</v>
      </c>
    </row>
    <row r="244" hidden="1">
      <c r="A244" s="27" t="s">
        <v>800</v>
      </c>
      <c r="B244" s="28" t="s">
        <v>820</v>
      </c>
      <c r="C244" s="1" t="s">
        <v>821</v>
      </c>
      <c r="D244" s="1" t="s">
        <v>822</v>
      </c>
      <c r="E244" s="14" t="s">
        <v>823</v>
      </c>
      <c r="F244" s="14" t="s">
        <v>824</v>
      </c>
      <c r="G244" s="1" t="s">
        <v>39</v>
      </c>
      <c r="H244" s="15" t="s">
        <v>806</v>
      </c>
      <c r="J244" s="8" t="str">
        <f>IFERROR(__xludf.DUMMYFUNCTION("IF(ISBLANK(F244),""NA"", VLOOKUP(F244,IMPORTRANGE(""https://docs.google.com/spreadsheets/d/1EdCvim__xyxvoo9WoburDTzYylznTCOJBHcnu7eurMw/edit?gid=15948134#gid=15948134"", ""Purpose!A1:B1000""),2,FALSE()))"),"to evaluate model(s) functionally (e.g., accuracy)")</f>
        <v>to evaluate model(s) functionally (e.g., accuracy)</v>
      </c>
      <c r="K244" s="8" t="str">
        <f>IFERROR(__xludf.DUMMYFUNCTION("IF(ISBLANK(E244),""NA"", VLOOKUP(E244,IMPORTRANGE(""https://docs.google.com/spreadsheets/d/1EdCvim__xyxvoo9WoburDTzYylznTCOJBHcnu7eurMw/edit?gid=15948134#gid=15948134"", ""Technique!A1:B2000""),2,FALSE()))"),"compute metrics (i.e., distance to heaven, P_opt)")</f>
        <v>compute metrics (i.e., distance to heaven, P_opt)</v>
      </c>
      <c r="L244" s="8" t="str">
        <f>IFERROR(__xludf.DUMMYFUNCTION("IF(ISBLANK(D244),""NA"", VLOOKUP(D244,IMPORTRANGE(""https://docs.google.com/spreadsheets/d/1EdCvim__xyxvoo9WoburDTzYylznTCOJBHcnu7eurMw/edit?gid=15948134#gid=15948134"", ""Input!A1:B2000""),2,FALSE()))"),"data + model(s)")</f>
        <v>data + model(s)</v>
      </c>
    </row>
    <row r="245" hidden="1">
      <c r="A245" s="27" t="s">
        <v>825</v>
      </c>
      <c r="B245" s="28" t="s">
        <v>801</v>
      </c>
      <c r="C245" s="1" t="s">
        <v>826</v>
      </c>
      <c r="D245" s="1" t="s">
        <v>827</v>
      </c>
      <c r="E245" s="16" t="s">
        <v>828</v>
      </c>
      <c r="F245" s="14" t="s">
        <v>829</v>
      </c>
      <c r="G245" s="1" t="s">
        <v>54</v>
      </c>
      <c r="H245" s="15" t="s">
        <v>830</v>
      </c>
      <c r="J245" s="8" t="str">
        <f>IFERROR(__xludf.DUMMYFUNCTION("IF(ISBLANK(F245),""NA"", VLOOKUP(F245,IMPORTRANGE(""https://docs.google.com/spreadsheets/d/1EdCvim__xyxvoo9WoburDTzYylznTCOJBHcnu7eurMw/edit?gid=15948134#gid=15948134"", ""Purpose!A1:B1000""),2,FALSE()))"),"to train a model for prediction tasks (i.e., difficulty of tasks)")</f>
        <v>to train a model for prediction tasks (i.e., difficulty of tasks)</v>
      </c>
      <c r="K245" s="8" t="str">
        <f>IFERROR(__xludf.DUMMYFUNCTION("IF(ISBLANK(E245),""NA"", VLOOKUP(E245,IMPORTRANGE(""https://docs.google.com/spreadsheets/d/1EdCvim__xyxvoo9WoburDTzYylznTCOJBHcnu7eurMw/edit?gid=15948134#gid=15948134"", ""Technique!A1:B2000""),2,FALSE()))"),"use Naive Bayes")</f>
        <v>use Naive Bayes</v>
      </c>
      <c r="L245" s="8" t="str">
        <f>IFERROR(__xludf.DUMMYFUNCTION("IF(ISBLANK(D245),""NA"", VLOOKUP(D245,IMPORTRANGE(""https://docs.google.com/spreadsheets/d/1EdCvim__xyxvoo9WoburDTzYylznTCOJBHcnu7eurMw/edit?gid=15948134#gid=15948134"", ""Input!A1:B2000""),2,FALSE()))"),"biometric data (e.g., eye tracking measurments)")</f>
        <v>biometric data (e.g., eye tracking measurments)</v>
      </c>
    </row>
    <row r="246" hidden="1">
      <c r="A246" s="27" t="s">
        <v>825</v>
      </c>
      <c r="B246" s="28" t="s">
        <v>831</v>
      </c>
      <c r="C246" s="1" t="s">
        <v>826</v>
      </c>
      <c r="D246" s="1" t="s">
        <v>827</v>
      </c>
      <c r="E246" s="16" t="s">
        <v>832</v>
      </c>
      <c r="F246" s="14" t="s">
        <v>833</v>
      </c>
      <c r="G246" s="1" t="s">
        <v>54</v>
      </c>
      <c r="H246" s="15" t="s">
        <v>830</v>
      </c>
      <c r="J246" s="8" t="str">
        <f>IFERROR(__xludf.DUMMYFUNCTION("IF(ISBLANK(F246),""NA"", VLOOKUP(F246,IMPORTRANGE(""https://docs.google.com/spreadsheets/d/1EdCvim__xyxvoo9WoburDTzYylznTCOJBHcnu7eurMw/edit?gid=15948134#gid=15948134"", ""Purpose!A1:B1000""),2,FALSE()))"),"to enable the training of a model that evolves with the psycho-physiological conditions of a developer")</f>
        <v>to enable the training of a model that evolves with the psycho-physiological conditions of a developer</v>
      </c>
      <c r="K246" s="8" t="str">
        <f>IFERROR(__xludf.DUMMYFUNCTION("IF(ISBLANK(E246),""NA"", VLOOKUP(E246,IMPORTRANGE(""https://docs.google.com/spreadsheets/d/1EdCvim__xyxvoo9WoburDTzYylznTCOJBHcnu7eurMw/edit?gid=15948134#gid=15948134"", ""Technique!A1:B2000""),2,FALSE()))"),"train model(s) on skiding windows of the data")</f>
        <v>train model(s) on skiding windows of the data</v>
      </c>
      <c r="L246" s="8" t="str">
        <f>IFERROR(__xludf.DUMMYFUNCTION("IF(ISBLANK(D246),""NA"", VLOOKUP(D246,IMPORTRANGE(""https://docs.google.com/spreadsheets/d/1EdCvim__xyxvoo9WoburDTzYylznTCOJBHcnu7eurMw/edit?gid=15948134#gid=15948134"", ""Input!A1:B2000""),2,FALSE()))"),"biometric data (e.g., eye tracking measurments)")</f>
        <v>biometric data (e.g., eye tracking measurments)</v>
      </c>
    </row>
    <row r="247" hidden="1">
      <c r="A247" s="27" t="s">
        <v>825</v>
      </c>
      <c r="B247" s="28" t="s">
        <v>834</v>
      </c>
      <c r="C247" s="1" t="s">
        <v>835</v>
      </c>
      <c r="D247" s="23" t="s">
        <v>836</v>
      </c>
      <c r="E247" s="1" t="s">
        <v>837</v>
      </c>
      <c r="F247" s="14" t="s">
        <v>838</v>
      </c>
      <c r="G247" s="1" t="s">
        <v>14</v>
      </c>
      <c r="H247" s="15" t="s">
        <v>830</v>
      </c>
      <c r="J247" s="8" t="str">
        <f>IFERROR(__xludf.DUMMYFUNCTION("IF(ISBLANK(F247),""NA"", VLOOKUP(F247,IMPORTRANGE(""https://docs.google.com/spreadsheets/d/1EdCvim__xyxvoo9WoburDTzYylznTCOJBHcnu7eurMw/edit?gid=15948134#gid=15948134"", ""Purpose!A1:B1000""),2,FALSE()))"),"to ensure that the model will perform correctly with independant features (i.e., Naive Bayes)")</f>
        <v>to ensure that the model will perform correctly with independant features (i.e., Naive Bayes)</v>
      </c>
      <c r="K247" s="8" t="str">
        <f>IFERROR(__xludf.DUMMYFUNCTION("IF(ISBLANK(E247),""NA"", VLOOKUP(E247,IMPORTRANGE(""https://docs.google.com/spreadsheets/d/1EdCvim__xyxvoo9WoburDTzYylznTCOJBHcnu7eurMw/edit?gid=15948134#gid=15948134"", ""Technique!A1:B2000""),2,FALSE()))"),"remove measurements that correlate almost perfectly to an already decided set")</f>
        <v>remove measurements that correlate almost perfectly to an already decided set</v>
      </c>
      <c r="L247" s="8" t="str">
        <f>IFERROR(__xludf.DUMMYFUNCTION("IF(ISBLANK(D247),""NA"", VLOOKUP(D247,IMPORTRANGE(""https://docs.google.com/spreadsheets/d/1EdCvim__xyxvoo9WoburDTzYylznTCOJBHcnu7eurMw/edit?gid=15948134#gid=15948134"", ""Input!A1:B2000""),2,FALSE()))"),"biometric data (i.e., eye tracking measurments)")</f>
        <v>biometric data (i.e., eye tracking measurments)</v>
      </c>
    </row>
    <row r="248" hidden="1">
      <c r="A248" s="27" t="s">
        <v>825</v>
      </c>
      <c r="B248" s="28" t="s">
        <v>839</v>
      </c>
      <c r="C248" s="23" t="s">
        <v>840</v>
      </c>
      <c r="D248" s="23" t="s">
        <v>836</v>
      </c>
      <c r="E248" s="20" t="s">
        <v>841</v>
      </c>
      <c r="F248" s="25" t="s">
        <v>842</v>
      </c>
      <c r="G248" s="23" t="s">
        <v>20</v>
      </c>
      <c r="H248" s="20" t="s">
        <v>830</v>
      </c>
      <c r="J248" s="8" t="str">
        <f>IFERROR(__xludf.DUMMYFUNCTION("IF(ISBLANK(F248),""NA"", VLOOKUP(F248,IMPORTRANGE(""https://docs.google.com/spreadsheets/d/1EdCvim__xyxvoo9WoburDTzYylznTCOJBHcnu7eurMw/edit?gid=15948134#gid=15948134"", ""Purpose!A1:B1000""),2,FALSE()))"),"to normalize and standardize sensor data")</f>
        <v>to normalize and standardize sensor data</v>
      </c>
      <c r="K248" s="8" t="str">
        <f>IFERROR(__xludf.DUMMYFUNCTION("IF(ISBLANK(E248),""NA"", VLOOKUP(E248,IMPORTRANGE(""https://docs.google.com/spreadsheets/d/1EdCvim__xyxvoo9WoburDTzYylznTCOJBHcnu7eurMw/edit?gid=15948134#gid=15948134"", ""Technique!A1:B2000""),2,FALSE()))"),"filter out sensor points based on validity (i.e., invalid)")</f>
        <v>filter out sensor points based on validity (i.e., invalid)</v>
      </c>
      <c r="L248" s="8" t="str">
        <f>IFERROR(__xludf.DUMMYFUNCTION("IF(ISBLANK(D248),""NA"", VLOOKUP(D248,IMPORTRANGE(""https://docs.google.com/spreadsheets/d/1EdCvim__xyxvoo9WoburDTzYylznTCOJBHcnu7eurMw/edit?gid=15948134#gid=15948134"", ""Input!A1:B2000""),2,FALSE()))"),"biometric data (i.e., eye tracking measurments)")</f>
        <v>biometric data (i.e., eye tracking measurments)</v>
      </c>
    </row>
    <row r="249" hidden="1">
      <c r="A249" s="27" t="s">
        <v>825</v>
      </c>
      <c r="B249" s="28" t="s">
        <v>843</v>
      </c>
      <c r="C249" s="23" t="s">
        <v>844</v>
      </c>
      <c r="D249" s="23" t="s">
        <v>827</v>
      </c>
      <c r="E249" s="20" t="s">
        <v>845</v>
      </c>
      <c r="F249" s="25" t="s">
        <v>846</v>
      </c>
      <c r="G249" s="23" t="s">
        <v>20</v>
      </c>
      <c r="H249" s="20" t="s">
        <v>830</v>
      </c>
      <c r="J249" s="8" t="str">
        <f>IFERROR(__xludf.DUMMYFUNCTION("IF(ISBLANK(F249),""NA"", VLOOKUP(F249,IMPORTRANGE(""https://docs.google.com/spreadsheets/d/1EdCvim__xyxvoo9WoburDTzYylznTCOJBHcnu7eurMw/edit?gid=15948134#gid=15948134"", ""Purpose!A1:B1000""),2,FALSE()))"),"to clean data, sensor data")</f>
        <v>to clean data, sensor data</v>
      </c>
      <c r="K249" s="8" t="str">
        <f>IFERROR(__xludf.DUMMYFUNCTION("IF(ISBLANK(E249),""NA"", VLOOKUP(E249,IMPORTRANGE(""https://docs.google.com/spreadsheets/d/1EdCvim__xyxvoo9WoburDTzYylznTCOJBHcnu7eurMw/edit?gid=15948134#gid=15948134"", ""Technique!A1:B2000""),2,FALSE()))"),"select data cleaning procedure depending on the type of data and sensor (source)")</f>
        <v>select data cleaning procedure depending on the type of data and sensor (source)</v>
      </c>
      <c r="L249" s="8" t="str">
        <f>IFERROR(__xludf.DUMMYFUNCTION("IF(ISBLANK(D249),""NA"", VLOOKUP(D249,IMPORTRANGE(""https://docs.google.com/spreadsheets/d/1EdCvim__xyxvoo9WoburDTzYylznTCOJBHcnu7eurMw/edit?gid=15948134#gid=15948134"", ""Input!A1:B2000""),2,FALSE()))"),"biometric data (e.g., eye tracking measurments)")</f>
        <v>biometric data (e.g., eye tracking measurments)</v>
      </c>
    </row>
    <row r="250" hidden="1">
      <c r="A250" s="27" t="s">
        <v>825</v>
      </c>
      <c r="B250" s="28" t="s">
        <v>814</v>
      </c>
      <c r="C250" s="23" t="s">
        <v>847</v>
      </c>
      <c r="D250" s="23" t="s">
        <v>33</v>
      </c>
      <c r="E250" s="23" t="s">
        <v>848</v>
      </c>
      <c r="F250" s="25" t="s">
        <v>849</v>
      </c>
      <c r="G250" s="23" t="s">
        <v>39</v>
      </c>
      <c r="H250" s="20" t="s">
        <v>830</v>
      </c>
      <c r="J250" s="8" t="str">
        <f>IFERROR(__xludf.DUMMYFUNCTION("IF(ISBLANK(F250),""NA"", VLOOKUP(F250,IMPORTRANGE(""https://docs.google.com/spreadsheets/d/1EdCvim__xyxvoo9WoburDTzYylznTCOJBHcnu7eurMw/edit?gid=15948134#gid=15948134"", ""Purpose!A1:B1000""),2,FALSE()))"),"to evaluate model(s) functionally (e.g., accuracy)")</f>
        <v>to evaluate model(s) functionally (e.g., accuracy)</v>
      </c>
      <c r="K250" s="8" t="str">
        <f>IFERROR(__xludf.DUMMYFUNCTION("IF(ISBLANK(E250),""NA"", VLOOKUP(E250,IMPORTRANGE(""https://docs.google.com/spreadsheets/d/1EdCvim__xyxvoo9WoburDTzYylznTCOJBHcnu7eurMw/edit?gid=15948134#gid=15948134"", ""Technique!A1:B2000""),2,FALSE()))"),"compute classical metrics (i.e., Accuracy, Precision, Recall)")</f>
        <v>compute classical metrics (i.e., Accuracy, Precision, Recall)</v>
      </c>
      <c r="L250" s="8" t="str">
        <f>IFERROR(__xludf.DUMMYFUNCTION("IF(ISBLANK(D250),""NA"", VLOOKUP(D250,IMPORTRANGE(""https://docs.google.com/spreadsheets/d/1EdCvim__xyxvoo9WoburDTzYylznTCOJBHcnu7eurMw/edit?gid=15948134#gid=15948134"", ""Input!A1:B2000""),2,FALSE()))"),"")</f>
        <v/>
      </c>
    </row>
    <row r="251" hidden="1">
      <c r="A251" s="1" t="s">
        <v>850</v>
      </c>
      <c r="B251" s="1" t="s">
        <v>851</v>
      </c>
      <c r="C251" s="1" t="s">
        <v>852</v>
      </c>
      <c r="D251" s="1" t="s">
        <v>170</v>
      </c>
      <c r="E251" s="14" t="s">
        <v>853</v>
      </c>
      <c r="F251" s="14" t="s">
        <v>854</v>
      </c>
      <c r="G251" s="1" t="s">
        <v>44</v>
      </c>
      <c r="H251" s="15" t="s">
        <v>806</v>
      </c>
      <c r="J251" s="8" t="str">
        <f>IFERROR(__xludf.DUMMYFUNCTION("IF(ISBLANK(F251),""NA"", VLOOKUP(F251,IMPORTRANGE(""https://docs.google.com/spreadsheets/d/1EdCvim__xyxvoo9WoburDTzYylznTCOJBHcnu7eurMw/edit?gid=15948134#gid=15948134"", ""Purpose!A1:B1000""),2,FALSE()))"),"to collect data, intentionally noisy data")</f>
        <v>to collect data, intentionally noisy data</v>
      </c>
      <c r="K251" s="8" t="str">
        <f>IFERROR(__xludf.DUMMYFUNCTION("IF(ISBLANK(E251),""NA"", VLOOKUP(E251,IMPORTRANGE(""https://docs.google.com/spreadsheets/d/1EdCvim__xyxvoo9WoburDTzYylznTCOJBHcnu7eurMw/edit?gid=15948134#gid=15948134"", ""Technique!A1:B2000""),2,FALSE()))"),"add noise by label flipping")</f>
        <v>add noise by label flipping</v>
      </c>
      <c r="L251" s="8" t="str">
        <f>IFERROR(__xludf.DUMMYFUNCTION("IF(ISBLANK(D251),""NA"", VLOOKUP(D251,IMPORTRANGE(""https://docs.google.com/spreadsheets/d/1EdCvim__xyxvoo9WoburDTzYylznTCOJBHcnu7eurMw/edit?gid=15948134#gid=15948134"", ""Input!A1:B2000""),2,FALSE()))"),"data")</f>
        <v>data</v>
      </c>
    </row>
    <row r="252" hidden="1">
      <c r="A252" s="1" t="s">
        <v>850</v>
      </c>
      <c r="B252" s="1" t="s">
        <v>855</v>
      </c>
      <c r="C252" s="1" t="s">
        <v>856</v>
      </c>
      <c r="D252" s="1" t="s">
        <v>857</v>
      </c>
      <c r="E252" s="16" t="s">
        <v>858</v>
      </c>
      <c r="F252" s="14" t="s">
        <v>859</v>
      </c>
      <c r="G252" s="1" t="s">
        <v>39</v>
      </c>
      <c r="H252" s="15" t="s">
        <v>806</v>
      </c>
      <c r="J252" s="8" t="str">
        <f>IFERROR(__xludf.DUMMYFUNCTION("IF(ISBLANK(F252),""NA"", VLOOKUP(F252,IMPORTRANGE(""https://docs.google.com/spreadsheets/d/1EdCvim__xyxvoo9WoburDTzYylznTCOJBHcnu7eurMw/edit?gid=15948134#gid=15948134"", ""Purpose!A1:B1000""),2,FALSE()))"),"to evaluate model(s)")</f>
        <v>to evaluate model(s)</v>
      </c>
      <c r="K252" s="8" t="str">
        <f>IFERROR(__xludf.DUMMYFUNCTION("IF(ISBLANK(E252),""NA"", VLOOKUP(E252,IMPORTRANGE(""https://docs.google.com/spreadsheets/d/1EdCvim__xyxvoo9WoburDTzYylznTCOJBHcnu7eurMw/edit?gid=15948134#gid=15948134"", ""Technique!A1:B2000""),2,FALSE()))"),"cross validation")</f>
        <v>cross validation</v>
      </c>
      <c r="L252" s="8" t="str">
        <f>IFERROR(__xludf.DUMMYFUNCTION("IF(ISBLANK(D252),""NA"", VLOOKUP(D252,IMPORTRANGE(""https://docs.google.com/spreadsheets/d/1EdCvim__xyxvoo9WoburDTzYylznTCOJBHcnu7eurMw/edit?gid=15948134#gid=15948134"", ""Input!A1:B2000""),2,FALSE()))"),"data + model(s)")</f>
        <v>data + model(s)</v>
      </c>
    </row>
    <row r="253" hidden="1">
      <c r="A253" s="1" t="s">
        <v>850</v>
      </c>
      <c r="B253" s="1">
        <v>6.0</v>
      </c>
      <c r="C253" s="1" t="s">
        <v>860</v>
      </c>
      <c r="E253" s="16" t="s">
        <v>861</v>
      </c>
      <c r="F253" s="14" t="s">
        <v>862</v>
      </c>
      <c r="G253" s="1" t="s">
        <v>54</v>
      </c>
      <c r="H253" s="15" t="s">
        <v>806</v>
      </c>
      <c r="J253" s="8" t="str">
        <f>IFERROR(__xludf.DUMMYFUNCTION("IF(ISBLANK(F253),""NA"", VLOOKUP(F253,IMPORTRANGE(""https://docs.google.com/spreadsheets/d/1EdCvim__xyxvoo9WoburDTzYylznTCOJBHcnu7eurMw/edit?gid=15948134#gid=15948134"", ""Purpose!A1:B1000""),2,FALSE()))"),"to train a model for prediction tasks (i.e., defect prediction), when dealing with large number of variables and variance")</f>
        <v>to train a model for prediction tasks (i.e., defect prediction), when dealing with large number of variables and variance</v>
      </c>
      <c r="K253" s="8" t="str">
        <f>IFERROR(__xludf.DUMMYFUNCTION("IF(ISBLANK(E253),""NA"", VLOOKUP(E253,IMPORTRANGE(""https://docs.google.com/spreadsheets/d/1EdCvim__xyxvoo9WoburDTzYylznTCOJBHcnu7eurMw/edit?gid=15948134#gid=15948134"", ""Technique!A1:B2000""),2,FALSE()))"),"use bayesian network classifier")</f>
        <v>use bayesian network classifier</v>
      </c>
      <c r="L253" s="8" t="str">
        <f>IFERROR(__xludf.DUMMYFUNCTION("IF(ISBLANK(D253),""NA"", VLOOKUP(D253,IMPORTRANGE(""https://docs.google.com/spreadsheets/d/1EdCvim__xyxvoo9WoburDTzYylznTCOJBHcnu7eurMw/edit?gid=15948134#gid=15948134"", ""Input!A1:B2000""),2,FALSE()))"),"NA")</f>
        <v>NA</v>
      </c>
    </row>
    <row r="254" hidden="1">
      <c r="A254" s="1" t="s">
        <v>850</v>
      </c>
      <c r="B254" s="1" t="s">
        <v>863</v>
      </c>
      <c r="C254" s="1" t="s">
        <v>864</v>
      </c>
      <c r="D254" s="1" t="s">
        <v>865</v>
      </c>
      <c r="E254" s="14" t="s">
        <v>866</v>
      </c>
      <c r="F254" s="14" t="s">
        <v>867</v>
      </c>
      <c r="G254" s="1" t="s">
        <v>39</v>
      </c>
      <c r="H254" s="15" t="s">
        <v>806</v>
      </c>
      <c r="J254" s="8" t="str">
        <f>IFERROR(__xludf.DUMMYFUNCTION("IF(ISBLANK(F254),""NA"", VLOOKUP(F254,IMPORTRANGE(""https://docs.google.com/spreadsheets/d/1EdCvim__xyxvoo9WoburDTzYylznTCOJBHcnu7eurMw/edit?gid=15948134#gid=15948134"", ""Purpose!A1:B1000""),2,FALSE()))"),"to evaluate model(s) functionally (e.g., accuracy) against others")</f>
        <v>to evaluate model(s) functionally (e.g., accuracy) against others</v>
      </c>
      <c r="K254" s="8" t="str">
        <f>IFERROR(__xludf.DUMMYFUNCTION("IF(ISBLANK(E254),""NA"", VLOOKUP(E254,IMPORTRANGE(""https://docs.google.com/spreadsheets/d/1EdCvim__xyxvoo9WoburDTzYylznTCOJBHcnu7eurMw/edit?gid=15948134#gid=15948134"", ""Technique!A1:B2000""),2,FALSE()))"),"compare with baseline model(s), random baseline")</f>
        <v>compare with baseline model(s), random baseline</v>
      </c>
      <c r="L254" s="8" t="str">
        <f>IFERROR(__xludf.DUMMYFUNCTION("IF(ISBLANK(D254),""NA"", VLOOKUP(D254,IMPORTRANGE(""https://docs.google.com/spreadsheets/d/1EdCvim__xyxvoo9WoburDTzYylznTCOJBHcnu7eurMw/edit?gid=15948134#gid=15948134"", ""Input!A1:B2000""),2,FALSE()))"),"data + model(s)")</f>
        <v>data + model(s)</v>
      </c>
    </row>
    <row r="255" hidden="1">
      <c r="A255" s="1" t="s">
        <v>850</v>
      </c>
      <c r="B255" s="1">
        <v>4.0</v>
      </c>
      <c r="C255" s="1" t="s">
        <v>868</v>
      </c>
      <c r="D255" s="1" t="s">
        <v>857</v>
      </c>
      <c r="E255" s="14" t="s">
        <v>869</v>
      </c>
      <c r="F255" s="14" t="s">
        <v>870</v>
      </c>
      <c r="G255" s="1" t="s">
        <v>39</v>
      </c>
      <c r="H255" s="15" t="s">
        <v>806</v>
      </c>
      <c r="J255" s="8" t="str">
        <f>IFERROR(__xludf.DUMMYFUNCTION("IF(ISBLANK(F255),""NA"", VLOOKUP(F255,IMPORTRANGE(""https://docs.google.com/spreadsheets/d/1EdCvim__xyxvoo9WoburDTzYylznTCOJBHcnu7eurMw/edit?gid=15948134#gid=15948134"", ""Purpose!A1:B1000""),2,FALSE()))"),"to evaluate model(s) functionally (e.g., accuracy)")</f>
        <v>to evaluate model(s) functionally (e.g., accuracy)</v>
      </c>
      <c r="K255" s="8" t="str">
        <f>IFERROR(__xludf.DUMMYFUNCTION("IF(ISBLANK(E255),""NA"", VLOOKUP(E255,IMPORTRANGE(""https://docs.google.com/spreadsheets/d/1EdCvim__xyxvoo9WoburDTzYylznTCOJBHcnu7eurMw/edit?gid=15948134#gid=15948134"", ""Technique!A1:B2000""),2,FALSE()))"),"compute classical metrics (i.e., Precision, Recall. F-meassure)")</f>
        <v>compute classical metrics (i.e., Precision, Recall. F-meassure)</v>
      </c>
      <c r="L255" s="8" t="str">
        <f>IFERROR(__xludf.DUMMYFUNCTION("IF(ISBLANK(D255),""NA"", VLOOKUP(D255,IMPORTRANGE(""https://docs.google.com/spreadsheets/d/1EdCvim__xyxvoo9WoburDTzYylznTCOJBHcnu7eurMw/edit?gid=15948134#gid=15948134"", ""Input!A1:B2000""),2,FALSE()))"),"data + model(s)")</f>
        <v>data + model(s)</v>
      </c>
    </row>
    <row r="256" hidden="1">
      <c r="A256" s="1" t="s">
        <v>850</v>
      </c>
      <c r="B256" s="1">
        <v>8.0</v>
      </c>
      <c r="C256" s="1" t="s">
        <v>871</v>
      </c>
      <c r="D256" s="1" t="s">
        <v>872</v>
      </c>
      <c r="E256" s="14" t="s">
        <v>873</v>
      </c>
      <c r="F256" s="14" t="s">
        <v>874</v>
      </c>
      <c r="G256" s="1" t="s">
        <v>14</v>
      </c>
      <c r="H256" s="15" t="s">
        <v>806</v>
      </c>
      <c r="J256" s="8" t="str">
        <f>IFERROR(__xludf.DUMMYFUNCTION("IF(ISBLANK(F256),""NA"", VLOOKUP(F256,IMPORTRANGE(""https://docs.google.com/spreadsheets/d/1EdCvim__xyxvoo9WoburDTzYylznTCOJBHcnu7eurMw/edit?gid=15948134#gid=15948134"", ""Purpose!A1:B1000""),2,FALSE()))"),"to compute metrics that describe files")</f>
        <v>to compute metrics that describe files</v>
      </c>
      <c r="K256" s="8" t="str">
        <f>IFERROR(__xludf.DUMMYFUNCTION("IF(ISBLANK(E256),""NA"", VLOOKUP(E256,IMPORTRANGE(""https://docs.google.com/spreadsheets/d/1EdCvim__xyxvoo9WoburDTzYylznTCOJBHcnu7eurMw/edit?gid=15948134#gid=15948134"", ""Technique!A1:B2000""),2,FALSE()))"),"feature engineering, compute metrics (i.e., Complexity metrics, Object oriented, change metrics, developer metrics)")</f>
        <v>feature engineering, compute metrics (i.e., Complexity metrics, Object oriented, change metrics, developer metrics)</v>
      </c>
      <c r="L256" s="8" t="str">
        <f>IFERROR(__xludf.DUMMYFUNCTION("IF(ISBLANK(D256),""NA"", VLOOKUP(D256,IMPORTRANGE(""https://docs.google.com/spreadsheets/d/1EdCvim__xyxvoo9WoburDTzYylznTCOJBHcnu7eurMw/edit?gid=15948134#gid=15948134"", ""Input!A1:B2000""),2,FALSE()))"),"code data (faulty code)")</f>
        <v>code data (faulty code)</v>
      </c>
    </row>
    <row r="257" hidden="1">
      <c r="A257" s="1" t="s">
        <v>875</v>
      </c>
      <c r="B257" s="1">
        <v>1.0</v>
      </c>
      <c r="C257" s="1" t="s">
        <v>876</v>
      </c>
      <c r="D257" s="1" t="s">
        <v>877</v>
      </c>
      <c r="E257" s="16" t="s">
        <v>878</v>
      </c>
      <c r="F257" s="14" t="s">
        <v>879</v>
      </c>
      <c r="G257" s="1" t="s">
        <v>20</v>
      </c>
      <c r="H257" s="15" t="s">
        <v>880</v>
      </c>
      <c r="J257" s="8" t="str">
        <f>IFERROR(__xludf.DUMMYFUNCTION("IF(ISBLANK(F257),""NA"", VLOOKUP(F257,IMPORTRANGE(""https://docs.google.com/spreadsheets/d/1EdCvim__xyxvoo9WoburDTzYylznTCOJBHcnu7eurMw/edit?gid=15948134#gid=15948134"", ""Purpose!A1:B1000""),2,FALSE()))"),"to remove the noise in data")</f>
        <v>to remove the noise in data</v>
      </c>
      <c r="K257" s="8" t="str">
        <f>IFERROR(__xludf.DUMMYFUNCTION("IF(ISBLANK(E257),""NA"", VLOOKUP(E257,IMPORTRANGE(""https://docs.google.com/spreadsheets/d/1EdCvim__xyxvoo9WoburDTzYylznTCOJBHcnu7eurMw/edit?gid=15948134#gid=15948134"", ""Technique!A1:B2000""),2,FALSE()))"),"extract only the first sentence of the instance")</f>
        <v>extract only the first sentence of the instance</v>
      </c>
      <c r="L257" s="8" t="str">
        <f>IFERROR(__xludf.DUMMYFUNCTION("IF(ISBLANK(D257),""NA"", VLOOKUP(D257,IMPORTRANGE(""https://docs.google.com/spreadsheets/d/1EdCvim__xyxvoo9WoburDTzYylznTCOJBHcnu7eurMw/edit?gid=15948134#gid=15948134"", ""Input!A1:B2000""),2,FALSE()))"),"textual data (commit messages)")</f>
        <v>textual data (commit messages)</v>
      </c>
    </row>
    <row r="258" hidden="1">
      <c r="A258" s="1" t="s">
        <v>875</v>
      </c>
      <c r="B258" s="1" t="s">
        <v>881</v>
      </c>
      <c r="C258" s="1" t="s">
        <v>876</v>
      </c>
      <c r="D258" s="1" t="s">
        <v>877</v>
      </c>
      <c r="E258" s="16" t="s">
        <v>882</v>
      </c>
      <c r="F258" s="14" t="s">
        <v>883</v>
      </c>
      <c r="G258" s="1" t="s">
        <v>20</v>
      </c>
      <c r="H258" s="15" t="s">
        <v>880</v>
      </c>
      <c r="J258" s="8" t="str">
        <f>IFERROR(__xludf.DUMMYFUNCTION("IF(ISBLANK(F258),""NA"", VLOOKUP(F258,IMPORTRANGE(""https://docs.google.com/spreadsheets/d/1EdCvim__xyxvoo9WoburDTzYylznTCOJBHcnu7eurMw/edit?gid=15948134#gid=15948134"", ""Purpose!A1:B1000""),2,FALSE()))"),"to decrease computational resources")</f>
        <v>to decrease computational resources</v>
      </c>
      <c r="K258" s="8" t="str">
        <f>IFERROR(__xludf.DUMMYFUNCTION("IF(ISBLANK(E258),""NA"", VLOOKUP(E258,IMPORTRANGE(""https://docs.google.com/spreadsheets/d/1EdCvim__xyxvoo9WoburDTzYylznTCOJBHcnu7eurMw/edit?gid=15948134#gid=15948134"", ""Technique!A1:B2000""),2,FALSE()))"),"reduce vocabulary size, remove issues and commit Ids from vocabulary")</f>
        <v>reduce vocabulary size, remove issues and commit Ids from vocabulary</v>
      </c>
      <c r="L258" s="8" t="str">
        <f>IFERROR(__xludf.DUMMYFUNCTION("IF(ISBLANK(D258),""NA"", VLOOKUP(D258,IMPORTRANGE(""https://docs.google.com/spreadsheets/d/1EdCvim__xyxvoo9WoburDTzYylznTCOJBHcnu7eurMw/edit?gid=15948134#gid=15948134"", ""Input!A1:B2000""),2,FALSE()))"),"textual data (commit messages)")</f>
        <v>textual data (commit messages)</v>
      </c>
    </row>
    <row r="259" hidden="1">
      <c r="A259" s="1" t="s">
        <v>875</v>
      </c>
      <c r="B259" s="1">
        <v>11.0</v>
      </c>
      <c r="C259" s="1" t="s">
        <v>884</v>
      </c>
      <c r="D259" s="1" t="s">
        <v>877</v>
      </c>
      <c r="E259" s="16" t="s">
        <v>885</v>
      </c>
      <c r="F259" s="14" t="s">
        <v>886</v>
      </c>
      <c r="G259" s="1" t="s">
        <v>20</v>
      </c>
      <c r="H259" s="15" t="s">
        <v>880</v>
      </c>
      <c r="J259" s="8" t="str">
        <f>IFERROR(__xludf.DUMMYFUNCTION("IF(ISBLANK(F259),""NA"", VLOOKUP(F259,IMPORTRANGE(""https://docs.google.com/spreadsheets/d/1EdCvim__xyxvoo9WoburDTzYylznTCOJBHcnu7eurMw/edit?gid=15948134#gid=15948134"", ""Purpose!A1:B1000""),2,FALSE()))"),"to drop data in which model does not perform well (i.e., due to the length)")</f>
        <v>to drop data in which model does not perform well (i.e., due to the length)</v>
      </c>
      <c r="K259" s="8" t="str">
        <f>IFERROR(__xludf.DUMMYFUNCTION("IF(ISBLANK(E259),""NA"", VLOOKUP(E259,IMPORTRANGE(""https://docs.google.com/spreadsheets/d/1EdCvim__xyxvoo9WoburDTzYylznTCOJBHcnu7eurMw/edit?gid=15948134#gid=15948134"", ""Technique!A1:B2000""),2,FALSE()))"),"filter out commits based on specific characteristics (i.e., rolled back or merged)")</f>
        <v>filter out commits based on specific characteristics (i.e., rolled back or merged)</v>
      </c>
      <c r="L259" s="8" t="str">
        <f>IFERROR(__xludf.DUMMYFUNCTION("IF(ISBLANK(D259),""NA"", VLOOKUP(D259,IMPORTRANGE(""https://docs.google.com/spreadsheets/d/1EdCvim__xyxvoo9WoburDTzYylznTCOJBHcnu7eurMw/edit?gid=15948134#gid=15948134"", ""Input!A1:B2000""),2,FALSE()))"),"textual data (commit messages)")</f>
        <v>textual data (commit messages)</v>
      </c>
    </row>
    <row r="260" hidden="1">
      <c r="A260" s="1" t="s">
        <v>875</v>
      </c>
      <c r="B260" s="1">
        <v>12.0</v>
      </c>
      <c r="C260" s="1" t="s">
        <v>884</v>
      </c>
      <c r="D260" s="1" t="s">
        <v>877</v>
      </c>
      <c r="E260" s="16" t="s">
        <v>887</v>
      </c>
      <c r="G260" s="1" t="s">
        <v>20</v>
      </c>
      <c r="H260" s="15" t="s">
        <v>880</v>
      </c>
      <c r="J260" s="8" t="str">
        <f>IFERROR(__xludf.DUMMYFUNCTION("IF(ISBLANK(F260),""NA"", VLOOKUP(F260,IMPORTRANGE(""https://docs.google.com/spreadsheets/d/1EdCvim__xyxvoo9WoburDTzYylznTCOJBHcnu7eurMw/edit?gid=15948134#gid=15948134"", ""Purpose!A1:B1000""),2,FALSE()))"),"NA")</f>
        <v>NA</v>
      </c>
      <c r="K260" s="8" t="str">
        <f>IFERROR(__xludf.DUMMYFUNCTION("IF(ISBLANK(E260),""NA"", VLOOKUP(E260,IMPORTRANGE(""https://docs.google.com/spreadsheets/d/1EdCvim__xyxvoo9WoburDTzYylznTCOJBHcnu7eurMw/edit?gid=15948134#gid=15948134"", ""Technique!A1:B2000""),2,FALSE()))"),"tokenize by spaces and punctuation")</f>
        <v>tokenize by spaces and punctuation</v>
      </c>
      <c r="L260" s="8" t="str">
        <f>IFERROR(__xludf.DUMMYFUNCTION("IF(ISBLANK(D260),""NA"", VLOOKUP(D260,IMPORTRANGE(""https://docs.google.com/spreadsheets/d/1EdCvim__xyxvoo9WoburDTzYylznTCOJBHcnu7eurMw/edit?gid=15948134#gid=15948134"", ""Input!A1:B2000""),2,FALSE()))"),"textual data (commit messages)")</f>
        <v>textual data (commit messages)</v>
      </c>
    </row>
    <row r="261" hidden="1">
      <c r="A261" s="1" t="s">
        <v>875</v>
      </c>
      <c r="B261" s="1">
        <v>13.0</v>
      </c>
      <c r="C261" s="1" t="s">
        <v>888</v>
      </c>
      <c r="D261" s="1" t="s">
        <v>877</v>
      </c>
      <c r="E261" s="16" t="s">
        <v>889</v>
      </c>
      <c r="F261" s="14" t="s">
        <v>890</v>
      </c>
      <c r="G261" s="1" t="s">
        <v>20</v>
      </c>
      <c r="H261" s="15" t="s">
        <v>880</v>
      </c>
      <c r="J261" s="8" t="str">
        <f>IFERROR(__xludf.DUMMYFUNCTION("IF(ISBLANK(F261),""NA"", VLOOKUP(F261,IMPORTRANGE(""https://docs.google.com/spreadsheets/d/1EdCvim__xyxvoo9WoburDTzYylznTCOJBHcnu7eurMw/edit?gid=15948134#gid=15948134"", ""Purpose!A1:B1000""),2,FALSE()))"),"to keep identifiers as individual words")</f>
        <v>to keep identifiers as individual words</v>
      </c>
      <c r="K261" s="8" t="str">
        <f>IFERROR(__xludf.DUMMYFUNCTION("IF(ISBLANK(E261),""NA"", VLOOKUP(E261,IMPORTRANGE(""https://docs.google.com/spreadsheets/d/1EdCvim__xyxvoo9WoburDTzYylznTCOJBHcnu7eurMw/edit?gid=15948134#gid=15948134"", ""Technique!A1:B2000""),2,FALSE()))"),"do not tokenize by capital letters (camelCase) code data")</f>
        <v>do not tokenize by capital letters (camelCase) code data</v>
      </c>
      <c r="L261" s="8" t="str">
        <f>IFERROR(__xludf.DUMMYFUNCTION("IF(ISBLANK(D261),""NA"", VLOOKUP(D261,IMPORTRANGE(""https://docs.google.com/spreadsheets/d/1EdCvim__xyxvoo9WoburDTzYylznTCOJBHcnu7eurMw/edit?gid=15948134#gid=15948134"", ""Input!A1:B2000""),2,FALSE()))"),"textual data (commit messages)")</f>
        <v>textual data (commit messages)</v>
      </c>
    </row>
    <row r="262" hidden="1">
      <c r="A262" s="1" t="s">
        <v>875</v>
      </c>
      <c r="B262" s="1" t="s">
        <v>891</v>
      </c>
      <c r="C262" s="1" t="s">
        <v>892</v>
      </c>
      <c r="D262" s="1" t="s">
        <v>877</v>
      </c>
      <c r="E262" s="16" t="s">
        <v>893</v>
      </c>
      <c r="G262" s="1" t="s">
        <v>20</v>
      </c>
      <c r="H262" s="15" t="s">
        <v>880</v>
      </c>
      <c r="J262" s="8" t="str">
        <f>IFERROR(__xludf.DUMMYFUNCTION("IF(ISBLANK(F262),""NA"", VLOOKUP(F262,IMPORTRANGE(""https://docs.google.com/spreadsheets/d/1EdCvim__xyxvoo9WoburDTzYylznTCOJBHcnu7eurMw/edit?gid=15948134#gid=15948134"", ""Purpose!A1:B1000""),2,FALSE()))"),"NA")</f>
        <v>NA</v>
      </c>
      <c r="K262" s="8" t="str">
        <f>IFERROR(__xludf.DUMMYFUNCTION("IF(ISBLANK(E262),""NA"", VLOOKUP(E262,IMPORTRANGE(""https://docs.google.com/spreadsheets/d/1EdCvim__xyxvoo9WoburDTzYylznTCOJBHcnu7eurMw/edit?gid=15948134#gid=15948134"", ""Technique!A1:B2000""),2,FALSE()))"),"report model fine details (e.g., max lenght input and output)")</f>
        <v>report model fine details (e.g., max lenght input and output)</v>
      </c>
      <c r="L262" s="8" t="str">
        <f>IFERROR(__xludf.DUMMYFUNCTION("IF(ISBLANK(D262),""NA"", VLOOKUP(D262,IMPORTRANGE(""https://docs.google.com/spreadsheets/d/1EdCvim__xyxvoo9WoburDTzYylznTCOJBHcnu7eurMw/edit?gid=15948134#gid=15948134"", ""Input!A1:B2000""),2,FALSE()))"),"textual data (commit messages)")</f>
        <v>textual data (commit messages)</v>
      </c>
    </row>
    <row r="263" hidden="1">
      <c r="A263" s="1" t="s">
        <v>875</v>
      </c>
      <c r="B263" s="1">
        <v>15.0</v>
      </c>
      <c r="C263" s="1" t="s">
        <v>894</v>
      </c>
      <c r="D263" s="1" t="s">
        <v>877</v>
      </c>
      <c r="E263" s="16" t="s">
        <v>895</v>
      </c>
      <c r="F263" s="14" t="s">
        <v>896</v>
      </c>
      <c r="G263" s="1" t="s">
        <v>20</v>
      </c>
      <c r="H263" s="15" t="s">
        <v>880</v>
      </c>
      <c r="J263" s="8" t="str">
        <f>IFERROR(__xludf.DUMMYFUNCTION("IF(ISBLANK(F263),""NA"", VLOOKUP(F263,IMPORTRANGE(""https://docs.google.com/spreadsheets/d/1EdCvim__xyxvoo9WoburDTzYylznTCOJBHcnu7eurMw/edit?gid=15948134#gid=15948134"", ""Purpose!A1:B1000""),2,FALSE()))"),"to ensure data quality")</f>
        <v>to ensure data quality</v>
      </c>
      <c r="K263" s="8" t="str">
        <f>IFERROR(__xludf.DUMMYFUNCTION("IF(ISBLANK(E263),""NA"", VLOOKUP(E263,IMPORTRANGE(""https://docs.google.com/spreadsheets/d/1EdCvim__xyxvoo9WoburDTzYylznTCOJBHcnu7eurMw/edit?gid=15948134#gid=15948134"", ""Technique!A1:B2000""),2,FALSE()))"),"apply verb-direct-object")</f>
        <v>apply verb-direct-object</v>
      </c>
      <c r="L263" s="8" t="str">
        <f>IFERROR(__xludf.DUMMYFUNCTION("IF(ISBLANK(D263),""NA"", VLOOKUP(D263,IMPORTRANGE(""https://docs.google.com/spreadsheets/d/1EdCvim__xyxvoo9WoburDTzYylznTCOJBHcnu7eurMw/edit?gid=15948134#gid=15948134"", ""Input!A1:B2000""),2,FALSE()))"),"textual data (commit messages)")</f>
        <v>textual data (commit messages)</v>
      </c>
    </row>
    <row r="264" hidden="1">
      <c r="A264" s="1" t="s">
        <v>875</v>
      </c>
      <c r="B264" s="1" t="s">
        <v>897</v>
      </c>
      <c r="C264" s="1" t="s">
        <v>898</v>
      </c>
      <c r="D264" s="1" t="s">
        <v>899</v>
      </c>
      <c r="E264" s="16" t="s">
        <v>900</v>
      </c>
      <c r="F264" s="14" t="s">
        <v>901</v>
      </c>
      <c r="G264" s="1" t="s">
        <v>20</v>
      </c>
      <c r="H264" s="15" t="s">
        <v>880</v>
      </c>
      <c r="J264" s="8" t="str">
        <f>IFERROR(__xludf.DUMMYFUNCTION("IF(ISBLANK(F264),""NA"", VLOOKUP(F264,IMPORTRANGE(""https://docs.google.com/spreadsheets/d/1EdCvim__xyxvoo9WoburDTzYylznTCOJBHcnu7eurMw/edit?gid=15948134#gid=15948134"", ""Purpose!A1:B1000""),2,FALSE()))"),"to split the data into different sets")</f>
        <v>to split the data into different sets</v>
      </c>
      <c r="K264" s="8" t="str">
        <f>IFERROR(__xludf.DUMMYFUNCTION("IF(ISBLANK(E264),""NA"", VLOOKUP(E264,IMPORTRANGE(""https://docs.google.com/spreadsheets/d/1EdCvim__xyxvoo9WoburDTzYylznTCOJBHcnu7eurMw/edit?gid=15948134#gid=15948134"", ""Technique!A1:B2000""),2,FALSE()))"),"split data into train, validation and test")</f>
        <v>split data into train, validation and test</v>
      </c>
      <c r="L264" s="8" t="str">
        <f>IFERROR(__xludf.DUMMYFUNCTION("IF(ISBLANK(D264),""NA"", VLOOKUP(D264,IMPORTRANGE(""https://docs.google.com/spreadsheets/d/1EdCvim__xyxvoo9WoburDTzYylznTCOJBHcnu7eurMw/edit?gid=15948134#gid=15948134"", ""Input!A1:B2000""),2,FALSE()))"),"textual data (commit messages)")</f>
        <v>textual data (commit messages)</v>
      </c>
    </row>
    <row r="265" hidden="1">
      <c r="A265" s="1" t="s">
        <v>875</v>
      </c>
      <c r="B265" s="1" t="s">
        <v>902</v>
      </c>
      <c r="C265" s="1" t="s">
        <v>903</v>
      </c>
      <c r="D265" s="1" t="s">
        <v>899</v>
      </c>
      <c r="E265" s="16" t="s">
        <v>904</v>
      </c>
      <c r="F265" s="14" t="s">
        <v>905</v>
      </c>
      <c r="G265" s="1" t="s">
        <v>54</v>
      </c>
      <c r="H265" s="15" t="s">
        <v>880</v>
      </c>
      <c r="J265" s="8" t="str">
        <f>IFERROR(__xludf.DUMMYFUNCTION("IF(ISBLANK(F265),""NA"", VLOOKUP(F265,IMPORTRANGE(""https://docs.google.com/spreadsheets/d/1EdCvim__xyxvoo9WoburDTzYylznTCOJBHcnu7eurMw/edit?gid=15948134#gid=15948134"", ""Purpose!A1:B1000""),2,FALSE()))"),"to train a model for generation tasks (i.e., commit generation)")</f>
        <v>to train a model for generation tasks (i.e., commit generation)</v>
      </c>
      <c r="K265" s="8" t="str">
        <f>IFERROR(__xludf.DUMMYFUNCTION("IF(ISBLANK(E265),""NA"", VLOOKUP(E265,IMPORTRANGE(""https://docs.google.com/spreadsheets/d/1EdCvim__xyxvoo9WoburDTzYylznTCOJBHcnu7eurMw/edit?gid=15948134#gid=15948134"", ""Technique!A1:B2000""),2,FALSE()))"),"use neural machine translation")</f>
        <v>use neural machine translation</v>
      </c>
      <c r="L265" s="8" t="str">
        <f>IFERROR(__xludf.DUMMYFUNCTION("IF(ISBLANK(D265),""NA"", VLOOKUP(D265,IMPORTRANGE(""https://docs.google.com/spreadsheets/d/1EdCvim__xyxvoo9WoburDTzYylznTCOJBHcnu7eurMw/edit?gid=15948134#gid=15948134"", ""Input!A1:B2000""),2,FALSE()))"),"textual data (commit messages)")</f>
        <v>textual data (commit messages)</v>
      </c>
    </row>
    <row r="266" hidden="1">
      <c r="A266" s="1" t="s">
        <v>875</v>
      </c>
      <c r="B266" s="1">
        <v>18.0</v>
      </c>
      <c r="C266" s="1" t="s">
        <v>906</v>
      </c>
      <c r="D266" s="1" t="s">
        <v>907</v>
      </c>
      <c r="E266" s="16" t="s">
        <v>908</v>
      </c>
      <c r="G266" s="1" t="s">
        <v>54</v>
      </c>
      <c r="H266" s="15" t="s">
        <v>880</v>
      </c>
      <c r="J266" s="8" t="str">
        <f>IFERROR(__xludf.DUMMYFUNCTION("IF(ISBLANK(F266),""NA"", VLOOKUP(F266,IMPORTRANGE(""https://docs.google.com/spreadsheets/d/1EdCvim__xyxvoo9WoburDTzYylznTCOJBHcnu7eurMw/edit?gid=15948134#gid=15948134"", ""Purpose!A1:B1000""),2,FALSE()))"),"NA")</f>
        <v>NA</v>
      </c>
      <c r="K266" s="8" t="str">
        <f>IFERROR(__xludf.DUMMYFUNCTION("IF(ISBLANK(E266),""NA"", VLOOKUP(E266,IMPORTRANGE(""https://docs.google.com/spreadsheets/d/1EdCvim__xyxvoo9WoburDTzYylznTCOJBHcnu7eurMw/edit?gid=15948134#gid=15948134"", ""Technique!A1:B2000""),2,FALSE()))"),"report model fine details (e.g., reshuffling data after each training epoch)")</f>
        <v>report model fine details (e.g., reshuffling data after each training epoch)</v>
      </c>
      <c r="L266" s="8" t="str">
        <f>IFERROR(__xludf.DUMMYFUNCTION("IF(ISBLANK(D266),""NA"", VLOOKUP(D266,IMPORTRANGE(""https://docs.google.com/spreadsheets/d/1EdCvim__xyxvoo9WoburDTzYylznTCOJBHcnu7eurMw/edit?gid=15948134#gid=15948134"", ""Input!A1:B2000""),2,FALSE()))"),"data (training set)")</f>
        <v>data (training set)</v>
      </c>
    </row>
    <row r="267" hidden="1">
      <c r="A267" s="1" t="s">
        <v>875</v>
      </c>
      <c r="B267" s="1">
        <v>6.0</v>
      </c>
      <c r="C267" s="1" t="s">
        <v>909</v>
      </c>
      <c r="D267" s="1" t="s">
        <v>910</v>
      </c>
      <c r="E267" s="16" t="s">
        <v>911</v>
      </c>
      <c r="F267" s="14" t="s">
        <v>912</v>
      </c>
      <c r="G267" s="1" t="s">
        <v>54</v>
      </c>
      <c r="H267" s="15" t="s">
        <v>880</v>
      </c>
      <c r="J267" s="8" t="str">
        <f>IFERROR(__xludf.DUMMYFUNCTION("IF(ISBLANK(F267),""NA"", VLOOKUP(F267,IMPORTRANGE(""https://docs.google.com/spreadsheets/d/1EdCvim__xyxvoo9WoburDTzYylznTCOJBHcnu7eurMw/edit?gid=15948134#gid=15948134"", ""Purpose!A1:B1000""),2,FALSE()))"),"to train a model for generation tasks (i.e., commit generation)")</f>
        <v>to train a model for generation tasks (i.e., commit generation)</v>
      </c>
      <c r="K267" s="8" t="str">
        <f>IFERROR(__xludf.DUMMYFUNCTION("IF(ISBLANK(E267),""NA"", VLOOKUP(E267,IMPORTRANGE(""https://docs.google.com/spreadsheets/d/1EdCvim__xyxvoo9WoburDTzYylznTCOJBHcnu7eurMw/edit?gid=15948134#gid=15948134"", ""Technique!A1:B2000""),2,FALSE()))"),"early stopping + LR optimization (Adadelta)")</f>
        <v>early stopping + LR optimization (Adadelta)</v>
      </c>
      <c r="L267" s="8" t="str">
        <f>IFERROR(__xludf.DUMMYFUNCTION("IF(ISBLANK(D267),""NA"", VLOOKUP(D267,IMPORTRANGE(""https://docs.google.com/spreadsheets/d/1EdCvim__xyxvoo9WoburDTzYylznTCOJBHcnu7eurMw/edit?gid=15948134#gid=15948134"", ""Input!A1:B2000""),2,FALSE()))"),"model(s)")</f>
        <v>model(s)</v>
      </c>
    </row>
    <row r="268" hidden="1">
      <c r="A268" s="1" t="s">
        <v>875</v>
      </c>
      <c r="B268" s="1">
        <v>19.0</v>
      </c>
      <c r="C268" s="1" t="s">
        <v>913</v>
      </c>
      <c r="D268" s="1" t="s">
        <v>914</v>
      </c>
      <c r="E268" s="16" t="s">
        <v>915</v>
      </c>
      <c r="F268" s="14" t="s">
        <v>916</v>
      </c>
      <c r="G268" s="1" t="s">
        <v>54</v>
      </c>
      <c r="H268" s="15" t="s">
        <v>880</v>
      </c>
      <c r="J268" s="8" t="str">
        <f>IFERROR(__xludf.DUMMYFUNCTION("IF(ISBLANK(F268),""NA"", VLOOKUP(F268,IMPORTRANGE(""https://docs.google.com/spreadsheets/d/1EdCvim__xyxvoo9WoburDTzYylznTCOJBHcnu7eurMw/edit?gid=15948134#gid=15948134"", ""Purpose!A1:B1000""),2,FALSE()))"),"to ensemble the same model at different stage of training")</f>
        <v>to ensemble the same model at different stage of training</v>
      </c>
      <c r="K268" s="8" t="str">
        <f>IFERROR(__xludf.DUMMYFUNCTION("IF(ISBLANK(E268),""NA"", VLOOKUP(E268,IMPORTRANGE(""https://docs.google.com/spreadsheets/d/1EdCvim__xyxvoo9WoburDTzYylznTCOJBHcnu7eurMw/edit?gid=15948134#gid=15948134"", ""Technique!A1:B2000""),2,FALSE()))"),"save models after X mini-batches")</f>
        <v>save models after X mini-batches</v>
      </c>
      <c r="L268" s="8" t="str">
        <f>IFERROR(__xludf.DUMMYFUNCTION("IF(ISBLANK(D268),""NA"", VLOOKUP(D268,IMPORTRANGE(""https://docs.google.com/spreadsheets/d/1EdCvim__xyxvoo9WoburDTzYylznTCOJBHcnu7eurMw/edit?gid=15948134#gid=15948134"", ""Input!A1:B2000""),2,FALSE()))"),"model(s)")</f>
        <v>model(s)</v>
      </c>
    </row>
    <row r="269" hidden="1">
      <c r="A269" s="1" t="s">
        <v>875</v>
      </c>
      <c r="B269" s="1">
        <v>20.0</v>
      </c>
      <c r="C269" s="1" t="s">
        <v>917</v>
      </c>
      <c r="E269" s="14" t="s">
        <v>918</v>
      </c>
      <c r="F269" s="14" t="s">
        <v>364</v>
      </c>
      <c r="G269" s="1" t="s">
        <v>39</v>
      </c>
      <c r="H269" s="15" t="s">
        <v>880</v>
      </c>
      <c r="J269" s="8" t="str">
        <f>IFERROR(__xludf.DUMMYFUNCTION("IF(ISBLANK(F269),""NA"", VLOOKUP(F269,IMPORTRANGE(""https://docs.google.com/spreadsheets/d/1EdCvim__xyxvoo9WoburDTzYylznTCOJBHcnu7eurMw/edit?gid=15948134#gid=15948134"", ""Purpose!A1:B1000""),2,FALSE()))"),"to evaluate model(s) functionally (e.g., accuracy) against others")</f>
        <v>to evaluate model(s) functionally (e.g., accuracy) against others</v>
      </c>
      <c r="K269" s="8" t="str">
        <f>IFERROR(__xludf.DUMMYFUNCTION("IF(ISBLANK(E269),""NA"", VLOOKUP(E269,IMPORTRANGE(""https://docs.google.com/spreadsheets/d/1EdCvim__xyxvoo9WoburDTzYylznTCOJBHcnu7eurMw/edit?gid=15948134#gid=15948134"", ""Technique!A1:B2000""),2,FALSE()))"),"compare with baseline model(s), state-of-the-art baselines shallow learning (MOSES)")</f>
        <v>compare with baseline model(s), state-of-the-art baselines shallow learning (MOSES)</v>
      </c>
      <c r="L269" s="8" t="str">
        <f>IFERROR(__xludf.DUMMYFUNCTION("IF(ISBLANK(D269),""NA"", VLOOKUP(D269,IMPORTRANGE(""https://docs.google.com/spreadsheets/d/1EdCvim__xyxvoo9WoburDTzYylznTCOJBHcnu7eurMw/edit?gid=15948134#gid=15948134"", ""Input!A1:B2000""),2,FALSE()))"),"NA")</f>
        <v>NA</v>
      </c>
    </row>
    <row r="270" hidden="1">
      <c r="A270" s="1" t="s">
        <v>875</v>
      </c>
      <c r="B270" s="1" t="s">
        <v>919</v>
      </c>
      <c r="C270" s="1" t="s">
        <v>920</v>
      </c>
      <c r="D270" s="1" t="s">
        <v>857</v>
      </c>
      <c r="E270" s="14" t="s">
        <v>921</v>
      </c>
      <c r="F270" s="14" t="s">
        <v>358</v>
      </c>
      <c r="G270" s="1" t="s">
        <v>39</v>
      </c>
      <c r="H270" s="15" t="s">
        <v>880</v>
      </c>
      <c r="J270" s="8" t="str">
        <f>IFERROR(__xludf.DUMMYFUNCTION("IF(ISBLANK(F270),""NA"", VLOOKUP(F270,IMPORTRANGE(""https://docs.google.com/spreadsheets/d/1EdCvim__xyxvoo9WoburDTzYylznTCOJBHcnu7eurMw/edit?gid=15948134#gid=15948134"", ""Purpose!A1:B1000""),2,FALSE()))"),"to evaluate model(s) functionally (e.g., accuracy)")</f>
        <v>to evaluate model(s) functionally (e.g., accuracy)</v>
      </c>
      <c r="K270" s="8" t="str">
        <f>IFERROR(__xludf.DUMMYFUNCTION("IF(ISBLANK(E270),""NA"", VLOOKUP(E270,IMPORTRANGE(""https://docs.google.com/spreadsheets/d/1EdCvim__xyxvoo9WoburDTzYylznTCOJBHcnu7eurMw/edit?gid=15948134#gid=15948134"", ""Technique!A1:B2000""),2,FALSE()))"),"compute metrics (i.e., BLEU)")</f>
        <v>compute metrics (i.e., BLEU)</v>
      </c>
      <c r="L270" s="8" t="str">
        <f>IFERROR(__xludf.DUMMYFUNCTION("IF(ISBLANK(D270),""NA"", VLOOKUP(D270,IMPORTRANGE(""https://docs.google.com/spreadsheets/d/1EdCvim__xyxvoo9WoburDTzYylznTCOJBHcnu7eurMw/edit?gid=15948134#gid=15948134"", ""Input!A1:B2000""),2,FALSE()))"),"data + model(s)")</f>
        <v>data + model(s)</v>
      </c>
    </row>
    <row r="271" hidden="1">
      <c r="A271" s="1" t="s">
        <v>875</v>
      </c>
      <c r="B271" s="1">
        <v>22.0</v>
      </c>
      <c r="C271" s="1" t="s">
        <v>922</v>
      </c>
      <c r="E271" s="14" t="s">
        <v>923</v>
      </c>
      <c r="F271" s="14" t="s">
        <v>585</v>
      </c>
      <c r="G271" s="1" t="s">
        <v>924</v>
      </c>
      <c r="H271" s="15" t="s">
        <v>880</v>
      </c>
      <c r="J271" s="8" t="str">
        <f>IFERROR(__xludf.DUMMYFUNCTION("IF(ISBLANK(F271),""NA"", VLOOKUP(F271,IMPORTRANGE(""https://docs.google.com/spreadsheets/d/1EdCvim__xyxvoo9WoburDTzYylznTCOJBHcnu7eurMw/edit?gid=15948134#gid=15948134"", ""Purpose!A1:B1000""),2,FALSE()))"),"to be able to replicate/reproduce a study, research")</f>
        <v>to be able to replicate/reproduce a study, research</v>
      </c>
      <c r="K271" s="8" t="str">
        <f>IFERROR(__xludf.DUMMYFUNCTION("IF(ISBLANK(E271),""NA"", VLOOKUP(E271,IMPORTRANGE(""https://docs.google.com/spreadsheets/d/1EdCvim__xyxvoo9WoburDTzYylznTCOJBHcnu7eurMw/edit?gid=15948134#gid=15948134"", ""Technique!A1:B2000""),2,FALSE()))"),"publish replication package")</f>
        <v>publish replication package</v>
      </c>
      <c r="L271" s="8" t="str">
        <f>IFERROR(__xludf.DUMMYFUNCTION("IF(ISBLANK(D271),""NA"", VLOOKUP(D271,IMPORTRANGE(""https://docs.google.com/spreadsheets/d/1EdCvim__xyxvoo9WoburDTzYylznTCOJBHcnu7eurMw/edit?gid=15948134#gid=15948134"", ""Input!A1:B2000""),2,FALSE()))"),"NA")</f>
        <v>NA</v>
      </c>
    </row>
    <row r="272" hidden="1">
      <c r="A272" s="1" t="s">
        <v>875</v>
      </c>
      <c r="B272" s="1">
        <v>23.0</v>
      </c>
      <c r="C272" s="1" t="s">
        <v>925</v>
      </c>
      <c r="D272" s="1" t="s">
        <v>926</v>
      </c>
      <c r="E272" s="14" t="s">
        <v>927</v>
      </c>
      <c r="F272" s="14" t="s">
        <v>928</v>
      </c>
      <c r="G272" s="1" t="s">
        <v>14</v>
      </c>
      <c r="H272" s="15" t="s">
        <v>880</v>
      </c>
      <c r="J272" s="8" t="str">
        <f>IFERROR(__xludf.DUMMYFUNCTION("IF(ISBLANK(F272),""NA"", VLOOKUP(F272,IMPORTRANGE(""https://docs.google.com/spreadsheets/d/1EdCvim__xyxvoo9WoburDTzYylznTCOJBHcnu7eurMw/edit?gid=15948134#gid=15948134"", ""Purpose!A1:B1000""),2,FALSE()))"),"to encode code data into a vector representation")</f>
        <v>to encode code data into a vector representation</v>
      </c>
      <c r="K272" s="8" t="str">
        <f>IFERROR(__xludf.DUMMYFUNCTION("IF(ISBLANK(E272),""NA"", VLOOKUP(E272,IMPORTRANGE(""https://docs.google.com/spreadsheets/d/1EdCvim__xyxvoo9WoburDTzYylznTCOJBHcnu7eurMw/edit?gid=15948134#gid=15948134"", ""Technique!A1:B2000""),2,FALSE()))"),"use TF-IDF")</f>
        <v>use TF-IDF</v>
      </c>
      <c r="L272" s="8" t="str">
        <f>IFERROR(__xludf.DUMMYFUNCTION("IF(ISBLANK(D272),""NA"", VLOOKUP(D272,IMPORTRANGE(""https://docs.google.com/spreadsheets/d/1EdCvim__xyxvoo9WoburDTzYylznTCOJBHcnu7eurMw/edit?gid=15948134#gid=15948134"", ""Input!A1:B2000""),2,FALSE()))"),"code data (commit differences)")</f>
        <v>code data (commit differences)</v>
      </c>
    </row>
    <row r="273" hidden="1">
      <c r="A273" s="1" t="s">
        <v>875</v>
      </c>
      <c r="B273" s="1">
        <v>24.0</v>
      </c>
      <c r="C273" s="1" t="s">
        <v>925</v>
      </c>
      <c r="D273" s="1" t="s">
        <v>929</v>
      </c>
      <c r="E273" s="16" t="s">
        <v>930</v>
      </c>
      <c r="F273" s="14" t="s">
        <v>931</v>
      </c>
      <c r="G273" s="1" t="s">
        <v>54</v>
      </c>
      <c r="H273" s="15" t="s">
        <v>880</v>
      </c>
      <c r="J273" s="8" t="str">
        <f>IFERROR(__xludf.DUMMYFUNCTION("IF(ISBLANK(F273),""NA"", VLOOKUP(F273,IMPORTRANGE(""https://docs.google.com/spreadsheets/d/1EdCvim__xyxvoo9WoburDTzYylznTCOJBHcnu7eurMw/edit?gid=15948134#gid=15948134"", ""Purpose!A1:B1000""),2,FALSE()))"),"to train a model for prediction tasks (i.e., whether NMT generates bad messages)")</f>
        <v>to train a model for prediction tasks (i.e., whether NMT generates bad messages)</v>
      </c>
      <c r="K273" s="8" t="str">
        <f>IFERROR(__xludf.DUMMYFUNCTION("IF(ISBLANK(E273),""NA"", VLOOKUP(E273,IMPORTRANGE(""https://docs.google.com/spreadsheets/d/1EdCvim__xyxvoo9WoburDTzYylznTCOJBHcnu7eurMw/edit?gid=15948134#gid=15948134"", ""Technique!A1:B2000""),2,FALSE()))"),"use support vector machines")</f>
        <v>use support vector machines</v>
      </c>
      <c r="L273" s="8" t="str">
        <f>IFERROR(__xludf.DUMMYFUNCTION("IF(ISBLANK(D273),""NA"", VLOOKUP(D273,IMPORTRANGE(""https://docs.google.com/spreadsheets/d/1EdCvim__xyxvoo9WoburDTzYylznTCOJBHcnu7eurMw/edit?gid=15948134#gid=15948134"", ""Input!A1:B2000""),2,FALSE()))"),"code data (commit differences)")</f>
        <v>code data (commit differences)</v>
      </c>
    </row>
    <row r="274" hidden="1">
      <c r="A274" s="1" t="s">
        <v>875</v>
      </c>
      <c r="B274" s="1">
        <v>25.0</v>
      </c>
      <c r="C274" s="1" t="s">
        <v>932</v>
      </c>
      <c r="D274" s="1" t="s">
        <v>929</v>
      </c>
      <c r="E274" s="14" t="s">
        <v>933</v>
      </c>
      <c r="F274" s="14" t="s">
        <v>358</v>
      </c>
      <c r="G274" s="1" t="s">
        <v>39</v>
      </c>
      <c r="H274" s="15" t="s">
        <v>880</v>
      </c>
      <c r="J274" s="8" t="str">
        <f>IFERROR(__xludf.DUMMYFUNCTION("IF(ISBLANK(F274),""NA"", VLOOKUP(F274,IMPORTRANGE(""https://docs.google.com/spreadsheets/d/1EdCvim__xyxvoo9WoburDTzYylznTCOJBHcnu7eurMw/edit?gid=15948134#gid=15948134"", ""Purpose!A1:B1000""),2,FALSE()))"),"to evaluate model(s) functionally (e.g., accuracy)")</f>
        <v>to evaluate model(s) functionally (e.g., accuracy)</v>
      </c>
      <c r="K274" s="8" t="str">
        <f>IFERROR(__xludf.DUMMYFUNCTION("IF(ISBLANK(E274),""NA"", VLOOKUP(E274,IMPORTRANGE(""https://docs.google.com/spreadsheets/d/1EdCvim__xyxvoo9WoburDTzYylznTCOJBHcnu7eurMw/edit?gid=15948134#gid=15948134"", ""Technique!A1:B2000""),2,FALSE()))"),"cross validation")</f>
        <v>cross validation</v>
      </c>
      <c r="L274" s="8" t="str">
        <f>IFERROR(__xludf.DUMMYFUNCTION("IF(ISBLANK(D274),""NA"", VLOOKUP(D274,IMPORTRANGE(""https://docs.google.com/spreadsheets/d/1EdCvim__xyxvoo9WoburDTzYylznTCOJBHcnu7eurMw/edit?gid=15948134#gid=15948134"", ""Input!A1:B2000""),2,FALSE()))"),"code data (commit differences)")</f>
        <v>code data (commit differences)</v>
      </c>
    </row>
    <row r="275" hidden="1">
      <c r="A275" s="1" t="s">
        <v>875</v>
      </c>
      <c r="B275" s="1">
        <v>26.0</v>
      </c>
      <c r="C275" s="1" t="s">
        <v>932</v>
      </c>
      <c r="E275" s="14" t="s">
        <v>934</v>
      </c>
      <c r="F275" s="14" t="s">
        <v>358</v>
      </c>
      <c r="G275" s="1" t="s">
        <v>39</v>
      </c>
      <c r="H275" s="15" t="s">
        <v>880</v>
      </c>
      <c r="J275" s="8" t="str">
        <f>IFERROR(__xludf.DUMMYFUNCTION("IF(ISBLANK(F275),""NA"", VLOOKUP(F275,IMPORTRANGE(""https://docs.google.com/spreadsheets/d/1EdCvim__xyxvoo9WoburDTzYylznTCOJBHcnu7eurMw/edit?gid=15948134#gid=15948134"", ""Purpose!A1:B1000""),2,FALSE()))"),"to evaluate model(s) functionally (e.g., accuracy)")</f>
        <v>to evaluate model(s) functionally (e.g., accuracy)</v>
      </c>
      <c r="K275" s="8" t="str">
        <f>IFERROR(__xludf.DUMMYFUNCTION("IF(ISBLANK(E275),""NA"", VLOOKUP(E275,IMPORTRANGE(""https://docs.google.com/spreadsheets/d/1EdCvim__xyxvoo9WoburDTzYylznTCOJBHcnu7eurMw/edit?gid=15948134#gid=15948134"", ""Technique!A1:B2000""),2,FALSE()))"),"compute classical metrics (i.e., Precision, Recall)")</f>
        <v>compute classical metrics (i.e., Precision, Recall)</v>
      </c>
      <c r="L275" s="8" t="str">
        <f>IFERROR(__xludf.DUMMYFUNCTION("IF(ISBLANK(D275),""NA"", VLOOKUP(D275,IMPORTRANGE(""https://docs.google.com/spreadsheets/d/1EdCvim__xyxvoo9WoburDTzYylznTCOJBHcnu7eurMw/edit?gid=15948134#gid=15948134"", ""Input!A1:B2000""),2,FALSE()))"),"NA")</f>
        <v>NA</v>
      </c>
    </row>
    <row r="276" hidden="1">
      <c r="A276" s="1" t="s">
        <v>935</v>
      </c>
      <c r="B276" s="1">
        <v>12.0</v>
      </c>
      <c r="C276" s="1" t="s">
        <v>936</v>
      </c>
      <c r="E276" s="16" t="s">
        <v>937</v>
      </c>
      <c r="F276" s="14" t="s">
        <v>901</v>
      </c>
      <c r="G276" s="1" t="s">
        <v>20</v>
      </c>
      <c r="H276" s="15" t="s">
        <v>938</v>
      </c>
      <c r="J276" s="8" t="str">
        <f>IFERROR(__xludf.DUMMYFUNCTION("IF(ISBLANK(F276),""NA"", VLOOKUP(F276,IMPORTRANGE(""https://docs.google.com/spreadsheets/d/1EdCvim__xyxvoo9WoburDTzYylznTCOJBHcnu7eurMw/edit?gid=15948134#gid=15948134"", ""Purpose!A1:B1000""),2,FALSE()))"),"to split the data into different sets")</f>
        <v>to split the data into different sets</v>
      </c>
      <c r="K276" s="8" t="str">
        <f>IFERROR(__xludf.DUMMYFUNCTION("IF(ISBLANK(E276),""NA"", VLOOKUP(E276,IMPORTRANGE(""https://docs.google.com/spreadsheets/d/1EdCvim__xyxvoo9WoburDTzYylznTCOJBHcnu7eurMw/edit?gid=15948134#gid=15948134"", ""Technique!A1:B2000""),2,FALSE()))"),"split data into train and test")</f>
        <v>split data into train and test</v>
      </c>
      <c r="L276" s="8" t="str">
        <f>IFERROR(__xludf.DUMMYFUNCTION("IF(ISBLANK(D276),""NA"", VLOOKUP(D276,IMPORTRANGE(""https://docs.google.com/spreadsheets/d/1EdCvim__xyxvoo9WoburDTzYylznTCOJBHcnu7eurMw/edit?gid=15948134#gid=15948134"", ""Input!A1:B2000""),2,FALSE()))"),"NA")</f>
        <v>NA</v>
      </c>
    </row>
    <row r="277" hidden="1">
      <c r="A277" s="1" t="s">
        <v>935</v>
      </c>
      <c r="B277" s="1">
        <v>13.0</v>
      </c>
      <c r="C277" s="1" t="s">
        <v>939</v>
      </c>
      <c r="D277" s="1" t="s">
        <v>940</v>
      </c>
      <c r="E277" s="16" t="s">
        <v>941</v>
      </c>
      <c r="F277" s="14" t="s">
        <v>942</v>
      </c>
      <c r="G277" s="1" t="s">
        <v>20</v>
      </c>
      <c r="H277" s="15" t="s">
        <v>938</v>
      </c>
      <c r="J277" s="8" t="str">
        <f>IFERROR(__xludf.DUMMYFUNCTION("IF(ISBLANK(F277),""NA"", VLOOKUP(F277,IMPORTRANGE(""https://docs.google.com/spreadsheets/d/1EdCvim__xyxvoo9WoburDTzYylznTCOJBHcnu7eurMw/edit?gid=15948134#gid=15948134"", ""Purpose!A1:B1000""),2,FALSE()))"),"to prevent the model to classify everything in the majority class")</f>
        <v>to prevent the model to classify everything in the majority class</v>
      </c>
      <c r="K277" s="8" t="str">
        <f>IFERROR(__xludf.DUMMYFUNCTION("IF(ISBLANK(E277),""NA"", VLOOKUP(E277,IMPORTRANGE(""https://docs.google.com/spreadsheets/d/1EdCvim__xyxvoo9WoburDTzYylznTCOJBHcnu7eurMw/edit?gid=15948134#gid=15948134"", ""Technique!A1:B2000""),2,FALSE()))"),"balance data (i.e., subsampling)")</f>
        <v>balance data (i.e., subsampling)</v>
      </c>
      <c r="L277" s="8" t="str">
        <f>IFERROR(__xludf.DUMMYFUNCTION("IF(ISBLANK(D277),""NA"", VLOOKUP(D277,IMPORTRANGE(""https://docs.google.com/spreadsheets/d/1EdCvim__xyxvoo9WoburDTzYylznTCOJBHcnu7eurMw/edit?gid=15948134#gid=15948134"", ""Input!A1:B2000""),2,FALSE()))"),"data (training set)")</f>
        <v>data (training set)</v>
      </c>
    </row>
    <row r="278" hidden="1">
      <c r="A278" s="1" t="s">
        <v>935</v>
      </c>
      <c r="B278" s="1">
        <v>14.0</v>
      </c>
      <c r="C278" s="1" t="s">
        <v>939</v>
      </c>
      <c r="D278" s="1" t="s">
        <v>943</v>
      </c>
      <c r="E278" s="16" t="s">
        <v>944</v>
      </c>
      <c r="F278" s="14" t="s">
        <v>945</v>
      </c>
      <c r="G278" s="1" t="s">
        <v>54</v>
      </c>
      <c r="H278" s="15" t="s">
        <v>938</v>
      </c>
      <c r="J278" s="8" t="str">
        <f>IFERROR(__xludf.DUMMYFUNCTION("IF(ISBLANK(F278),""NA"", VLOOKUP(F278,IMPORTRANGE(""https://docs.google.com/spreadsheets/d/1EdCvim__xyxvoo9WoburDTzYylznTCOJBHcnu7eurMw/edit?gid=15948134#gid=15948134"", ""Purpose!A1:B1000""),2,FALSE()))"),"to account randomeness of sub-sampling")</f>
        <v>to account randomeness of sub-sampling</v>
      </c>
      <c r="K278" s="8" t="str">
        <f>IFERROR(__xludf.DUMMYFUNCTION("IF(ISBLANK(E278),""NA"", VLOOKUP(E278,IMPORTRANGE(""https://docs.google.com/spreadsheets/d/1EdCvim__xyxvoo9WoburDTzYylznTCOJBHcnu7eurMw/edit?gid=15948134#gid=15948134"", ""Technique!A1:B2000""),2,FALSE()))"),"multiple runs/experiments")</f>
        <v>multiple runs/experiments</v>
      </c>
      <c r="L278" s="8" t="str">
        <f>IFERROR(__xludf.DUMMYFUNCTION("IF(ISBLANK(D278),""NA"", VLOOKUP(D278,IMPORTRANGE(""https://docs.google.com/spreadsheets/d/1EdCvim__xyxvoo9WoburDTzYylznTCOJBHcnu7eurMw/edit?gid=15948134#gid=15948134"", ""Input!A1:B2000""),2,FALSE()))"),"data (training set)")</f>
        <v>data (training set)</v>
      </c>
    </row>
    <row r="279" hidden="1">
      <c r="A279" s="1" t="s">
        <v>935</v>
      </c>
      <c r="B279" s="1" t="s">
        <v>946</v>
      </c>
      <c r="C279" s="1" t="s">
        <v>939</v>
      </c>
      <c r="D279" s="1" t="s">
        <v>947</v>
      </c>
      <c r="E279" s="14" t="s">
        <v>948</v>
      </c>
      <c r="F279" s="14" t="s">
        <v>949</v>
      </c>
      <c r="G279" s="1" t="s">
        <v>39</v>
      </c>
      <c r="H279" s="15" t="s">
        <v>938</v>
      </c>
      <c r="J279" s="8" t="str">
        <f>IFERROR(__xludf.DUMMYFUNCTION("IF(ISBLANK(F279),""NA"", VLOOKUP(F279,IMPORTRANGE(""https://docs.google.com/spreadsheets/d/1EdCvim__xyxvoo9WoburDTzYylznTCOJBHcnu7eurMw/edit?gid=15948134#gid=15948134"", ""Purpose!A1:B1000""),2,FALSE()))"),"to evaluate model(s) functionally (e.g., accuracy)")</f>
        <v>to evaluate model(s) functionally (e.g., accuracy)</v>
      </c>
      <c r="K279" s="8" t="str">
        <f>IFERROR(__xludf.DUMMYFUNCTION("IF(ISBLANK(E279),""NA"", VLOOKUP(E279,IMPORTRANGE(""https://docs.google.com/spreadsheets/d/1EdCvim__xyxvoo9WoburDTzYylznTCOJBHcnu7eurMw/edit?gid=15948134#gid=15948134"", ""Technique!A1:B2000""),2,FALSE()))"),"compute classical metrics (i.e., Precision, Recall. F-meassure (1 and 0.5))")</f>
        <v>compute classical metrics (i.e., Precision, Recall. F-meassure (1 and 0.5))</v>
      </c>
      <c r="L279" s="8" t="str">
        <f>IFERROR(__xludf.DUMMYFUNCTION("IF(ISBLANK(D279),""NA"", VLOOKUP(D279,IMPORTRANGE(""https://docs.google.com/spreadsheets/d/1EdCvim__xyxvoo9WoburDTzYylznTCOJBHcnu7eurMw/edit?gid=15948134#gid=15948134"", ""Input!A1:B2000""),2,FALSE()))"),"confusion matrix")</f>
        <v>confusion matrix</v>
      </c>
    </row>
    <row r="280" hidden="1">
      <c r="A280" s="1" t="s">
        <v>935</v>
      </c>
      <c r="B280" s="1">
        <v>1.0</v>
      </c>
      <c r="C280" s="1" t="s">
        <v>950</v>
      </c>
      <c r="D280" s="1"/>
      <c r="E280" s="14" t="s">
        <v>951</v>
      </c>
      <c r="F280" s="14" t="s">
        <v>98</v>
      </c>
      <c r="G280" s="1" t="s">
        <v>44</v>
      </c>
      <c r="H280" s="15" t="s">
        <v>938</v>
      </c>
      <c r="J280" s="8" t="str">
        <f>IFERROR(__xludf.DUMMYFUNCTION("IF(ISBLANK(F280),""NA"", VLOOKUP(F280,IMPORTRANGE(""https://docs.google.com/spreadsheets/d/1EdCvim__xyxvoo9WoburDTzYylznTCOJBHcnu7eurMw/edit?gid=15948134#gid=15948134"", ""Purpose!A1:B1000""),2,FALSE()))"),"to collect data")</f>
        <v>to collect data</v>
      </c>
      <c r="K280" s="8" t="str">
        <f>IFERROR(__xludf.DUMMYFUNCTION("IF(ISBLANK(E280),""NA"", VLOOKUP(E280,IMPORTRANGE(""https://docs.google.com/spreadsheets/d/1EdCvim__xyxvoo9WoburDTzYylznTCOJBHcnu7eurMw/edit?gid=15948134#gid=15948134"", ""Technique!A1:B2000""),2,FALSE()))"),"use repositories (e.g., github) + developers tools (e.g., issue trackers)")</f>
        <v>use repositories (e.g., github) + developers tools (e.g., issue trackers)</v>
      </c>
      <c r="L280" s="8" t="str">
        <f>IFERROR(__xludf.DUMMYFUNCTION("IF(ISBLANK(D280),""NA"", VLOOKUP(D280,IMPORTRANGE(""https://docs.google.com/spreadsheets/d/1EdCvim__xyxvoo9WoburDTzYylznTCOJBHcnu7eurMw/edit?gid=15948134#gid=15948134"", ""Input!A1:B2000""),2,FALSE()))"),"NA")</f>
        <v>NA</v>
      </c>
    </row>
    <row r="281" hidden="1">
      <c r="A281" s="1" t="s">
        <v>935</v>
      </c>
      <c r="B281" s="1" t="s">
        <v>952</v>
      </c>
      <c r="C281" s="1" t="s">
        <v>950</v>
      </c>
      <c r="D281" s="1" t="s">
        <v>857</v>
      </c>
      <c r="E281" s="14" t="s">
        <v>953</v>
      </c>
      <c r="G281" s="1" t="s">
        <v>39</v>
      </c>
      <c r="H281" s="15" t="s">
        <v>938</v>
      </c>
      <c r="J281" s="8" t="str">
        <f>IFERROR(__xludf.DUMMYFUNCTION("IF(ISBLANK(F281),""NA"", VLOOKUP(F281,IMPORTRANGE(""https://docs.google.com/spreadsheets/d/1EdCvim__xyxvoo9WoburDTzYylznTCOJBHcnu7eurMw/edit?gid=15948134#gid=15948134"", ""Purpose!A1:B1000""),2,FALSE()))"),"NA")</f>
        <v>NA</v>
      </c>
      <c r="K281" s="8" t="str">
        <f>IFERROR(__xludf.DUMMYFUNCTION("IF(ISBLANK(E281),""NA"", VLOOKUP(E281,IMPORTRANGE(""https://docs.google.com/spreadsheets/d/1EdCvim__xyxvoo9WoburDTzYylznTCOJBHcnu7eurMw/edit?gid=15948134#gid=15948134"", ""Technique!A1:B2000""),2,FALSE()))"),"compute classical metrics (i.e., TP, TN, FP, FN, recall, precision)")</f>
        <v>compute classical metrics (i.e., TP, TN, FP, FN, recall, precision)</v>
      </c>
      <c r="L281" s="8" t="str">
        <f>IFERROR(__xludf.DUMMYFUNCTION("IF(ISBLANK(D281),""NA"", VLOOKUP(D281,IMPORTRANGE(""https://docs.google.com/spreadsheets/d/1EdCvim__xyxvoo9WoburDTzYylznTCOJBHcnu7eurMw/edit?gid=15948134#gid=15948134"", ""Input!A1:B2000""),2,FALSE()))"),"data + model(s)")</f>
        <v>data + model(s)</v>
      </c>
    </row>
    <row r="282" hidden="1">
      <c r="A282" s="1" t="s">
        <v>935</v>
      </c>
      <c r="B282" s="1" t="s">
        <v>954</v>
      </c>
      <c r="C282" s="1" t="s">
        <v>950</v>
      </c>
      <c r="D282" s="1" t="s">
        <v>857</v>
      </c>
      <c r="E282" s="16" t="s">
        <v>955</v>
      </c>
      <c r="F282" s="14" t="s">
        <v>956</v>
      </c>
      <c r="G282" s="1" t="s">
        <v>54</v>
      </c>
      <c r="H282" s="15" t="s">
        <v>938</v>
      </c>
      <c r="J282" s="8" t="str">
        <f>IFERROR(__xludf.DUMMYFUNCTION("IF(ISBLANK(F282),""NA"", VLOOKUP(F282,IMPORTRANGE(""https://docs.google.com/spreadsheets/d/1EdCvim__xyxvoo9WoburDTzYylznTCOJBHcnu7eurMw/edit?gid=15948134#gid=15948134"", ""Purpose!A1:B1000""),2,FALSE()))"),"to train a model for classification tasks (i.e., whether commits and issues are linked)")</f>
        <v>to train a model for classification tasks (i.e., whether commits and issues are linked)</v>
      </c>
      <c r="K282" s="8" t="str">
        <f>IFERROR(__xludf.DUMMYFUNCTION("IF(ISBLANK(E282),""NA"", VLOOKUP(E282,IMPORTRANGE(""https://docs.google.com/spreadsheets/d/1EdCvim__xyxvoo9WoburDTzYylznTCOJBHcnu7eurMw/edit?gid=15948134#gid=15948134"", ""Technique!A1:B2000""),2,FALSE()))"),"use Naive Bayes, decision tree, random forest, J48")</f>
        <v>use Naive Bayes, decision tree, random forest, J48</v>
      </c>
      <c r="L282" s="8" t="str">
        <f>IFERROR(__xludf.DUMMYFUNCTION("IF(ISBLANK(D282),""NA"", VLOOKUP(D282,IMPORTRANGE(""https://docs.google.com/spreadsheets/d/1EdCvim__xyxvoo9WoburDTzYylznTCOJBHcnu7eurMw/edit?gid=15948134#gid=15948134"", ""Input!A1:B2000""),2,FALSE()))"),"data + model(s)")</f>
        <v>data + model(s)</v>
      </c>
    </row>
    <row r="283" hidden="1">
      <c r="A283" s="1" t="s">
        <v>957</v>
      </c>
      <c r="B283" s="1">
        <v>1.0</v>
      </c>
      <c r="C283" s="1" t="s">
        <v>958</v>
      </c>
      <c r="D283" s="1" t="s">
        <v>959</v>
      </c>
      <c r="E283" s="14" t="s">
        <v>960</v>
      </c>
      <c r="F283" s="14" t="s">
        <v>961</v>
      </c>
      <c r="G283" s="1" t="s">
        <v>106</v>
      </c>
      <c r="H283" s="15" t="s">
        <v>962</v>
      </c>
      <c r="J283" s="8" t="str">
        <f>IFERROR(__xludf.DUMMYFUNCTION("IF(ISBLANK(F283),""NA"", VLOOKUP(F283,IMPORTRANGE(""https://docs.google.com/spreadsheets/d/1EdCvim__xyxvoo9WoburDTzYylznTCOJBHcnu7eurMw/edit?gid=15948134#gid=15948134"", ""Purpose!A1:B1000""),2,FALSE()))"),"to ensure quality in labels")</f>
        <v>to ensure quality in labels</v>
      </c>
      <c r="K283" s="8" t="str">
        <f>IFERROR(__xludf.DUMMYFUNCTION("IF(ISBLANK(E283),""NA"", VLOOKUP(E283,IMPORTRANGE(""https://docs.google.com/spreadsheets/d/1EdCvim__xyxvoo9WoburDTzYylznTCOJBHcnu7eurMw/edit?gid=15948134#gid=15948134"", ""Technique!A1:B2000""),2,FALSE()))"),"manual labeling of a random sample")</f>
        <v>manual labeling of a random sample</v>
      </c>
      <c r="L283" s="8" t="str">
        <f>IFERROR(__xludf.DUMMYFUNCTION("IF(ISBLANK(D283),""NA"", VLOOKUP(D283,IMPORTRANGE(""https://docs.google.com/spreadsheets/d/1EdCvim__xyxvoo9WoburDTzYylznTCOJBHcnu7eurMw/edit?gid=15948134#gid=15948134"", ""Input!A1:B2000""),2,FALSE()))"),"textual data (commit)")</f>
        <v>textual data (commit)</v>
      </c>
    </row>
    <row r="284" hidden="1">
      <c r="A284" s="1" t="s">
        <v>957</v>
      </c>
      <c r="B284" s="1">
        <v>2.0</v>
      </c>
      <c r="C284" s="1" t="s">
        <v>963</v>
      </c>
      <c r="D284" s="1" t="s">
        <v>964</v>
      </c>
      <c r="E284" s="14" t="s">
        <v>965</v>
      </c>
      <c r="F284" s="14" t="s">
        <v>966</v>
      </c>
      <c r="G284" s="1" t="s">
        <v>106</v>
      </c>
      <c r="H284" s="15" t="s">
        <v>962</v>
      </c>
      <c r="J284" s="8" t="str">
        <f>IFERROR(__xludf.DUMMYFUNCTION("IF(ISBLANK(F284),""NA"", VLOOKUP(F284,IMPORTRANGE(""https://docs.google.com/spreadsheets/d/1EdCvim__xyxvoo9WoburDTzYylznTCOJBHcnu7eurMw/edit?gid=15948134#gid=15948134"", ""Purpose!A1:B1000""),2,FALSE()))"),"to understand how much agreement are between taggers in the labeling")</f>
        <v>to understand how much agreement are between taggers in the labeling</v>
      </c>
      <c r="K284" s="8" t="str">
        <f>IFERROR(__xludf.DUMMYFUNCTION("IF(ISBLANK(E284),""NA"", VLOOKUP(E284,IMPORTRANGE(""https://docs.google.com/spreadsheets/d/1EdCvim__xyxvoo9WoburDTzYylznTCOJBHcnu7eurMw/edit?gid=15948134#gid=15948134"", ""Technique!A1:B2000""),2,FALSE()))"),"compute interrater agreement, Cohen's Kappa")</f>
        <v>compute interrater agreement, Cohen's Kappa</v>
      </c>
      <c r="L284" s="8" t="str">
        <f>IFERROR(__xludf.DUMMYFUNCTION("IF(ISBLANK(D284),""NA"", VLOOKUP(D284,IMPORTRANGE(""https://docs.google.com/spreadsheets/d/1EdCvim__xyxvoo9WoburDTzYylznTCOJBHcnu7eurMw/edit?gid=15948134#gid=15948134"", ""Input!A1:B2000""),2,FALSE()))"),"data + unverified labels")</f>
        <v>data + unverified labels</v>
      </c>
    </row>
    <row r="285" hidden="1">
      <c r="A285" s="1" t="s">
        <v>957</v>
      </c>
      <c r="B285" s="1">
        <v>3.0</v>
      </c>
      <c r="C285" s="1" t="s">
        <v>963</v>
      </c>
      <c r="D285" s="1" t="s">
        <v>967</v>
      </c>
      <c r="E285" s="14" t="s">
        <v>968</v>
      </c>
      <c r="G285" s="1" t="s">
        <v>39</v>
      </c>
      <c r="H285" s="15" t="s">
        <v>962</v>
      </c>
      <c r="J285" s="8" t="str">
        <f>IFERROR(__xludf.DUMMYFUNCTION("IF(ISBLANK(F285),""NA"", VLOOKUP(F285,IMPORTRANGE(""https://docs.google.com/spreadsheets/d/1EdCvim__xyxvoo9WoburDTzYylznTCOJBHcnu7eurMw/edit?gid=15948134#gid=15948134"", ""Purpose!A1:B1000""),2,FALSE()))"),"NA")</f>
        <v>NA</v>
      </c>
      <c r="K285" s="8" t="str">
        <f>IFERROR(__xludf.DUMMYFUNCTION("IF(ISBLANK(E285),""NA"", VLOOKUP(E285,IMPORTRANGE(""https://docs.google.com/spreadsheets/d/1EdCvim__xyxvoo9WoburDTzYylznTCOJBHcnu7eurMw/edit?gid=15948134#gid=15948134"", ""Technique!A1:B2000""),2,FALSE()))"),"cross validation")</f>
        <v>cross validation</v>
      </c>
      <c r="L285" s="8" t="str">
        <f>IFERROR(__xludf.DUMMYFUNCTION("IF(ISBLANK(D285),""NA"", VLOOKUP(D285,IMPORTRANGE(""https://docs.google.com/spreadsheets/d/1EdCvim__xyxvoo9WoburDTzYylznTCOJBHcnu7eurMw/edit?gid=15948134#gid=15948134"", ""Input!A1:B2000""),2,FALSE()))"),"data + model(s)")</f>
        <v>data + model(s)</v>
      </c>
    </row>
    <row r="286" hidden="1">
      <c r="A286" s="1" t="s">
        <v>957</v>
      </c>
      <c r="B286" s="1">
        <v>4.0</v>
      </c>
      <c r="C286" s="1" t="s">
        <v>963</v>
      </c>
      <c r="D286" s="1" t="s">
        <v>969</v>
      </c>
      <c r="E286" s="14" t="s">
        <v>970</v>
      </c>
      <c r="F286" s="14" t="s">
        <v>358</v>
      </c>
      <c r="G286" s="1" t="s">
        <v>39</v>
      </c>
      <c r="H286" s="15" t="s">
        <v>962</v>
      </c>
      <c r="J286" s="8" t="str">
        <f>IFERROR(__xludf.DUMMYFUNCTION("IF(ISBLANK(F286),""NA"", VLOOKUP(F286,IMPORTRANGE(""https://docs.google.com/spreadsheets/d/1EdCvim__xyxvoo9WoburDTzYylznTCOJBHcnu7eurMw/edit?gid=15948134#gid=15948134"", ""Purpose!A1:B1000""),2,FALSE()))"),"to evaluate model(s) functionally (e.g., accuracy)")</f>
        <v>to evaluate model(s) functionally (e.g., accuracy)</v>
      </c>
      <c r="K286" s="8" t="str">
        <f>IFERROR(__xludf.DUMMYFUNCTION("IF(ISBLANK(E286),""NA"", VLOOKUP(E286,IMPORTRANGE(""https://docs.google.com/spreadsheets/d/1EdCvim__xyxvoo9WoburDTzYylznTCOJBHcnu7eurMw/edit?gid=15948134#gid=15948134"", ""Technique!A1:B2000""),2,FALSE()))"),"compute classical metrics (i.e., F-meassure)")</f>
        <v>compute classical metrics (i.e., F-meassure)</v>
      </c>
      <c r="L286" s="8" t="str">
        <f>IFERROR(__xludf.DUMMYFUNCTION("IF(ISBLANK(D286),""NA"", VLOOKUP(D286,IMPORTRANGE(""https://docs.google.com/spreadsheets/d/1EdCvim__xyxvoo9WoburDTzYylznTCOJBHcnu7eurMw/edit?gid=15948134#gid=15948134"", ""Input!A1:B2000""),2,FALSE()))"),"model(s)' output, classification of bug-fixing commits")</f>
        <v>model(s)' output, classification of bug-fixing commits</v>
      </c>
    </row>
    <row r="287" hidden="1">
      <c r="A287" s="1" t="s">
        <v>957</v>
      </c>
      <c r="B287" s="1">
        <v>6.0</v>
      </c>
      <c r="C287" s="1" t="s">
        <v>963</v>
      </c>
      <c r="D287" s="1" t="s">
        <v>967</v>
      </c>
      <c r="E287" s="16" t="s">
        <v>971</v>
      </c>
      <c r="F287" s="14" t="s">
        <v>972</v>
      </c>
      <c r="G287" s="1" t="s">
        <v>54</v>
      </c>
      <c r="H287" s="15" t="s">
        <v>962</v>
      </c>
      <c r="J287" s="8" t="str">
        <f>IFERROR(__xludf.DUMMYFUNCTION("IF(ISBLANK(F287),""NA"", VLOOKUP(F287,IMPORTRANGE(""https://docs.google.com/spreadsheets/d/1EdCvim__xyxvoo9WoburDTzYylznTCOJBHcnu7eurMw/edit?gid=15948134#gid=15948134"", ""Purpose!A1:B1000""),2,FALSE()))"),"to train a model for classification tasks (i.e., bug fixing commits)")</f>
        <v>to train a model for classification tasks (i.e., bug fixing commits)</v>
      </c>
      <c r="K287" s="8" t="str">
        <f>IFERROR(__xludf.DUMMYFUNCTION("IF(ISBLANK(E287),""NA"", VLOOKUP(E287,IMPORTRANGE(""https://docs.google.com/spreadsheets/d/1EdCvim__xyxvoo9WoburDTzYylznTCOJBHcnu7eurMw/edit?gid=15948134#gid=15948134"", ""Technique!A1:B2000""),2,FALSE()))"),"use Naive Bayes + use support vector machine")</f>
        <v>use Naive Bayes + use support vector machine</v>
      </c>
      <c r="L287" s="8" t="str">
        <f>IFERROR(__xludf.DUMMYFUNCTION("IF(ISBLANK(D287),""NA"", VLOOKUP(D287,IMPORTRANGE(""https://docs.google.com/spreadsheets/d/1EdCvim__xyxvoo9WoburDTzYylznTCOJBHcnu7eurMw/edit?gid=15948134#gid=15948134"", ""Input!A1:B2000""),2,FALSE()))"),"data + model(s)")</f>
        <v>data + model(s)</v>
      </c>
    </row>
    <row r="288" hidden="1">
      <c r="A288" s="1" t="s">
        <v>973</v>
      </c>
      <c r="B288" s="1">
        <v>5.0</v>
      </c>
      <c r="C288" s="1" t="s">
        <v>974</v>
      </c>
      <c r="E288" s="1" t="s">
        <v>975</v>
      </c>
      <c r="F288" s="14" t="s">
        <v>434</v>
      </c>
      <c r="G288" s="1" t="s">
        <v>39</v>
      </c>
      <c r="H288" s="15" t="s">
        <v>372</v>
      </c>
      <c r="J288" s="8" t="str">
        <f>IFERROR(__xludf.DUMMYFUNCTION("IF(ISBLANK(F288),""NA"", VLOOKUP(F288,IMPORTRANGE(""https://docs.google.com/spreadsheets/d/1EdCvim__xyxvoo9WoburDTzYylznTCOJBHcnu7eurMw/edit?gid=15948134#gid=15948134"", ""Purpose!A1:B1000""),2,FALSE()))"),"to evaluate model(s) functionally (e.g., accuracy)")</f>
        <v>to evaluate model(s) functionally (e.g., accuracy)</v>
      </c>
      <c r="K288" s="8" t="str">
        <f>IFERROR(__xludf.DUMMYFUNCTION("IF(ISBLANK(E288),""NA"", VLOOKUP(E288,IMPORTRANGE(""https://docs.google.com/spreadsheets/d/1EdCvim__xyxvoo9WoburDTzYylznTCOJBHcnu7eurMw/edit?gid=15948134#gid=15948134"", ""Technique!A1:B2000""),2,FALSE()))"),"compute metrics (i.e., Mean Square Error)")</f>
        <v>compute metrics (i.e., Mean Square Error)</v>
      </c>
      <c r="L288" s="8" t="str">
        <f>IFERROR(__xludf.DUMMYFUNCTION("IF(ISBLANK(D288),""NA"", VLOOKUP(D288,IMPORTRANGE(""https://docs.google.com/spreadsheets/d/1EdCvim__xyxvoo9WoburDTzYylznTCOJBHcnu7eurMw/edit?gid=15948134#gid=15948134"", ""Input!A1:B2000""),2,FALSE()))"),"NA")</f>
        <v>NA</v>
      </c>
    </row>
    <row r="289" hidden="1">
      <c r="A289" s="1" t="s">
        <v>973</v>
      </c>
      <c r="B289" s="1">
        <v>1.0</v>
      </c>
      <c r="C289" s="1" t="s">
        <v>976</v>
      </c>
      <c r="D289" s="1" t="s">
        <v>977</v>
      </c>
      <c r="E289" s="16" t="s">
        <v>978</v>
      </c>
      <c r="F289" s="14" t="s">
        <v>979</v>
      </c>
      <c r="G289" s="1" t="s">
        <v>54</v>
      </c>
      <c r="H289" s="15" t="s">
        <v>372</v>
      </c>
      <c r="J289" s="8" t="str">
        <f>IFERROR(__xludf.DUMMYFUNCTION("IF(ISBLANK(F289),""NA"", VLOOKUP(F289,IMPORTRANGE(""https://docs.google.com/spreadsheets/d/1EdCvim__xyxvoo9WoburDTzYylznTCOJBHcnu7eurMw/edit?gid=15948134#gid=15948134"", ""Purpose!A1:B1000""),2,FALSE()))"),"to automatically build mathematical models of dynamical systems")</f>
        <v>to automatically build mathematical models of dynamical systems</v>
      </c>
      <c r="K289" s="8" t="str">
        <f>IFERROR(__xludf.DUMMYFUNCTION("IF(ISBLANK(E289),""NA"", VLOOKUP(E289,IMPORTRANGE(""https://docs.google.com/spreadsheets/d/1EdCvim__xyxvoo9WoburDTzYylznTCOJBHcnu7eurMw/edit?gid=15948134#gid=15948134"", ""Technique!A1:B2000""),2,FALSE()))"),"use surrogate models (System Identification technique)")</f>
        <v>use surrogate models (System Identification technique)</v>
      </c>
      <c r="L289" s="8" t="str">
        <f>IFERROR(__xludf.DUMMYFUNCTION("IF(ISBLANK(D289),""NA"", VLOOKUP(D289,IMPORTRANGE(""https://docs.google.com/spreadsheets/d/1EdCvim__xyxvoo9WoburDTzYylznTCOJBHcnu7eurMw/edit?gid=15948134#gid=15948134"", ""Input!A1:B2000""),2,FALSE()))"),"code data (Cyber-Physical System)")</f>
        <v>code data (Cyber-Physical System)</v>
      </c>
    </row>
    <row r="290" hidden="1">
      <c r="A290" s="1" t="s">
        <v>973</v>
      </c>
      <c r="B290" s="1">
        <v>2.0</v>
      </c>
      <c r="C290" s="1" t="s">
        <v>980</v>
      </c>
      <c r="D290" s="1" t="s">
        <v>981</v>
      </c>
      <c r="E290" s="1" t="s">
        <v>982</v>
      </c>
      <c r="F290" s="14" t="s">
        <v>983</v>
      </c>
      <c r="G290" s="1" t="s">
        <v>39</v>
      </c>
      <c r="H290" s="15" t="s">
        <v>372</v>
      </c>
      <c r="J290" s="8" t="str">
        <f>IFERROR(__xludf.DUMMYFUNCTION("IF(ISBLANK(F290),""NA"", VLOOKUP(F290,IMPORTRANGE(""https://docs.google.com/spreadsheets/d/1EdCvim__xyxvoo9WoburDTzYylznTCOJBHcnu7eurMw/edit?gid=15948134#gid=15948134"", ""Purpose!A1:B1000""),2,FALSE()))"),"to evaluate model(s) non-functional attributes (i.e., effectiveness, number of runs needed)")</f>
        <v>to evaluate model(s) non-functional attributes (i.e., effectiveness, number of runs needed)</v>
      </c>
      <c r="K290" s="8" t="str">
        <f>IFERROR(__xludf.DUMMYFUNCTION("IF(ISBLANK(E290),""NA"", VLOOKUP(E290,IMPORTRANGE(""https://docs.google.com/spreadsheets/d/1EdCvim__xyxvoo9WoburDTzYylznTCOJBHcnu7eurMw/edit?gid=15948134#gid=15948134"", ""Technique!A1:B2000""),2,FALSE()))"),"compute metrics (i.e., number of runs needed to accomplish the goal (e.g., identify something))")</f>
        <v>compute metrics (i.e., number of runs needed to accomplish the goal (e.g., identify something))</v>
      </c>
      <c r="L290" s="8" t="str">
        <f>IFERROR(__xludf.DUMMYFUNCTION("IF(ISBLANK(D290),""NA"", VLOOKUP(D290,IMPORTRANGE(""https://docs.google.com/spreadsheets/d/1EdCvim__xyxvoo9WoburDTzYylznTCOJBHcnu7eurMw/edit?gid=15948134#gid=15948134"", ""Input!A1:B2000""),2,FALSE()))"),"code data (Cyber-Physical System) + code data (approximate model Cyber-Physical System)")</f>
        <v>code data (Cyber-Physical System) + code data (approximate model Cyber-Physical System)</v>
      </c>
    </row>
    <row r="291" hidden="1">
      <c r="A291" s="1" t="s">
        <v>973</v>
      </c>
      <c r="B291" s="1">
        <v>3.0</v>
      </c>
      <c r="C291" s="1" t="s">
        <v>980</v>
      </c>
      <c r="D291" s="1" t="s">
        <v>981</v>
      </c>
      <c r="E291" s="1" t="s">
        <v>984</v>
      </c>
      <c r="F291" s="14" t="s">
        <v>985</v>
      </c>
      <c r="G291" s="1" t="s">
        <v>39</v>
      </c>
      <c r="H291" s="15" t="s">
        <v>372</v>
      </c>
      <c r="J291" s="8" t="str">
        <f>IFERROR(__xludf.DUMMYFUNCTION("IF(ISBLANK(F291),""NA"", VLOOKUP(F291,IMPORTRANGE(""https://docs.google.com/spreadsheets/d/1EdCvim__xyxvoo9WoburDTzYylznTCOJBHcnu7eurMw/edit?gid=15948134#gid=15948134"", ""Purpose!A1:B1000""),2,FALSE()))"),"to evaluate model(s) functionally (e.g., accuracy)")</f>
        <v>to evaluate model(s) functionally (e.g., accuracy)</v>
      </c>
      <c r="K291" s="8" t="str">
        <f>IFERROR(__xludf.DUMMYFUNCTION("IF(ISBLANK(E291),""NA"", VLOOKUP(E291,IMPORTRANGE(""https://docs.google.com/spreadsheets/d/1EdCvim__xyxvoo9WoburDTzYylznTCOJBHcnu7eurMw/edit?gid=15948134#gid=15948134"", ""Technique!A1:B2000""),2,FALSE()))"),"compute metrics (i.e., number of runs out of 100 that accomplished the goal (e.g., identify something))")</f>
        <v>compute metrics (i.e., number of runs out of 100 that accomplished the goal (e.g., identify something))</v>
      </c>
      <c r="L291" s="8" t="str">
        <f>IFERROR(__xludf.DUMMYFUNCTION("IF(ISBLANK(D291),""NA"", VLOOKUP(D291,IMPORTRANGE(""https://docs.google.com/spreadsheets/d/1EdCvim__xyxvoo9WoburDTzYylznTCOJBHcnu7eurMw/edit?gid=15948134#gid=15948134"", ""Input!A1:B2000""),2,FALSE()))"),"code data (Cyber-Physical System) + code data (approximate model Cyber-Physical System)")</f>
        <v>code data (Cyber-Physical System) + code data (approximate model Cyber-Physical System)</v>
      </c>
    </row>
    <row r="292" hidden="1">
      <c r="A292" s="1" t="s">
        <v>986</v>
      </c>
      <c r="B292" s="1">
        <v>1.0</v>
      </c>
      <c r="C292" s="1" t="s">
        <v>987</v>
      </c>
      <c r="E292" s="1" t="s">
        <v>988</v>
      </c>
      <c r="F292" s="14" t="s">
        <v>989</v>
      </c>
      <c r="G292" s="1" t="s">
        <v>44</v>
      </c>
      <c r="H292" s="15" t="s">
        <v>990</v>
      </c>
      <c r="J292" s="8" t="str">
        <f>IFERROR(__xludf.DUMMYFUNCTION("IF(ISBLANK(F292),""NA"", VLOOKUP(F292,IMPORTRANGE(""https://docs.google.com/spreadsheets/d/1EdCvim__xyxvoo9WoburDTzYylznTCOJBHcnu7eurMw/edit?gid=15948134#gid=15948134"", ""Purpose!A1:B1000""),2,FALSE()))"),"to collect data")</f>
        <v>to collect data</v>
      </c>
      <c r="K292" s="8" t="str">
        <f>IFERROR(__xludf.DUMMYFUNCTION("IF(ISBLANK(E292),""NA"", VLOOKUP(E292,IMPORTRANGE(""https://docs.google.com/spreadsheets/d/1EdCvim__xyxvoo9WoburDTzYylznTCOJBHcnu7eurMw/edit?gid=15948134#gid=15948134"", ""Technique!A1:B2000""),2,FALSE()))"),"use repositories (e.g., github)")</f>
        <v>use repositories (e.g., github)</v>
      </c>
      <c r="L292" s="8" t="str">
        <f>IFERROR(__xludf.DUMMYFUNCTION("IF(ISBLANK(D292),""NA"", VLOOKUP(D292,IMPORTRANGE(""https://docs.google.com/spreadsheets/d/1EdCvim__xyxvoo9WoburDTzYylznTCOJBHcnu7eurMw/edit?gid=15948134#gid=15948134"", ""Input!A1:B2000""),2,FALSE()))"),"NA")</f>
        <v>NA</v>
      </c>
    </row>
    <row r="293" hidden="1">
      <c r="A293" s="1" t="s">
        <v>986</v>
      </c>
      <c r="B293" s="1">
        <v>2.0</v>
      </c>
      <c r="C293" s="1" t="s">
        <v>987</v>
      </c>
      <c r="D293" s="1" t="s">
        <v>191</v>
      </c>
      <c r="E293" s="1" t="s">
        <v>991</v>
      </c>
      <c r="F293" s="14" t="s">
        <v>989</v>
      </c>
      <c r="G293" s="1" t="s">
        <v>44</v>
      </c>
      <c r="H293" s="15" t="s">
        <v>990</v>
      </c>
      <c r="J293" s="8" t="str">
        <f>IFERROR(__xludf.DUMMYFUNCTION("IF(ISBLANK(F293),""NA"", VLOOKUP(F293,IMPORTRANGE(""https://docs.google.com/spreadsheets/d/1EdCvim__xyxvoo9WoburDTzYylznTCOJBHcnu7eurMw/edit?gid=15948134#gid=15948134"", ""Purpose!A1:B1000""),2,FALSE()))"),"to collect data")</f>
        <v>to collect data</v>
      </c>
      <c r="K293" s="8" t="str">
        <f>IFERROR(__xludf.DUMMYFUNCTION("IF(ISBLANK(E293),""NA"", VLOOKUP(E293,IMPORTRANGE(""https://docs.google.com/spreadsheets/d/1EdCvim__xyxvoo9WoburDTzYylznTCOJBHcnu7eurMw/edit?gid=15948134#gid=15948134"", ""Technique!A1:B2000""),2,FALSE()))"),"sample data randomly")</f>
        <v>sample data randomly</v>
      </c>
      <c r="L293" s="8" t="str">
        <f>IFERROR(__xludf.DUMMYFUNCTION("IF(ISBLANK(D293),""NA"", VLOOKUP(D293,IMPORTRANGE(""https://docs.google.com/spreadsheets/d/1EdCvim__xyxvoo9WoburDTzYylznTCOJBHcnu7eurMw/edit?gid=15948134#gid=15948134"", ""Input!A1:B2000""),2,FALSE()))"),"textual data (issues)")</f>
        <v>textual data (issues)</v>
      </c>
    </row>
    <row r="294" hidden="1">
      <c r="A294" s="1" t="s">
        <v>986</v>
      </c>
      <c r="B294" s="1">
        <v>3.0</v>
      </c>
      <c r="C294" s="1" t="s">
        <v>992</v>
      </c>
      <c r="D294" s="1" t="s">
        <v>191</v>
      </c>
      <c r="E294" s="14" t="s">
        <v>993</v>
      </c>
      <c r="F294" s="14" t="s">
        <v>989</v>
      </c>
      <c r="G294" s="1" t="s">
        <v>106</v>
      </c>
      <c r="H294" s="15" t="s">
        <v>990</v>
      </c>
      <c r="J294" s="8" t="str">
        <f>IFERROR(__xludf.DUMMYFUNCTION("IF(ISBLANK(F294),""NA"", VLOOKUP(F294,IMPORTRANGE(""https://docs.google.com/spreadsheets/d/1EdCvim__xyxvoo9WoburDTzYylznTCOJBHcnu7eurMw/edit?gid=15948134#gid=15948134"", ""Purpose!A1:B1000""),2,FALSE()))"),"to collect data")</f>
        <v>to collect data</v>
      </c>
      <c r="K294" s="8" t="str">
        <f>IFERROR(__xludf.DUMMYFUNCTION("IF(ISBLANK(E294),""NA"", VLOOKUP(E294,IMPORTRANGE(""https://docs.google.com/spreadsheets/d/1EdCvim__xyxvoo9WoburDTzYylznTCOJBHcnu7eurMw/edit?gid=15948134#gid=15948134"", ""Technique!A1:B2000""),2,FALSE()))"),"groundend theory based method")</f>
        <v>groundend theory based method</v>
      </c>
      <c r="L294" s="8" t="str">
        <f>IFERROR(__xludf.DUMMYFUNCTION("IF(ISBLANK(D294),""NA"", VLOOKUP(D294,IMPORTRANGE(""https://docs.google.com/spreadsheets/d/1EdCvim__xyxvoo9WoburDTzYylznTCOJBHcnu7eurMw/edit?gid=15948134#gid=15948134"", ""Input!A1:B2000""),2,FALSE()))"),"textual data (issues)")</f>
        <v>textual data (issues)</v>
      </c>
    </row>
    <row r="295" hidden="1">
      <c r="A295" s="1" t="s">
        <v>986</v>
      </c>
      <c r="B295" s="1" t="s">
        <v>994</v>
      </c>
      <c r="C295" s="1" t="s">
        <v>995</v>
      </c>
      <c r="D295" s="1" t="s">
        <v>996</v>
      </c>
      <c r="E295" s="1" t="s">
        <v>997</v>
      </c>
      <c r="F295" s="14" t="s">
        <v>998</v>
      </c>
      <c r="G295" s="1" t="s">
        <v>14</v>
      </c>
      <c r="H295" s="15" t="s">
        <v>990</v>
      </c>
      <c r="J295" s="8" t="str">
        <f>IFERROR(__xludf.DUMMYFUNCTION("IF(ISBLANK(F295),""NA"", VLOOKUP(F295,IMPORTRANGE(""https://docs.google.com/spreadsheets/d/1EdCvim__xyxvoo9WoburDTzYylznTCOJBHcnu7eurMw/edit?gid=15948134#gid=15948134"", ""Purpose!A1:B1000""),2,FALSE()))"),"to identify the part of speech used in the bug descriptions")</f>
        <v>to identify the part of speech used in the bug descriptions</v>
      </c>
      <c r="K295" s="8" t="str">
        <f>IFERROR(__xludf.DUMMYFUNCTION("IF(ISBLANK(E295),""NA"", VLOOKUP(E295,IMPORTRANGE(""https://docs.google.com/spreadsheets/d/1EdCvim__xyxvoo9WoburDTzYylznTCOJBHcnu7eurMw/edit?gid=15948134#gid=15948134"", ""Technique!A1:B2000""),2,FALSE()))"),"apply POS tagging")</f>
        <v>apply POS tagging</v>
      </c>
      <c r="L295" s="8" t="str">
        <f>IFERROR(__xludf.DUMMYFUNCTION("IF(ISBLANK(D295),""NA"", VLOOKUP(D295,IMPORTRANGE(""https://docs.google.com/spreadsheets/d/1EdCvim__xyxvoo9WoburDTzYylznTCOJBHcnu7eurMw/edit?gid=15948134#gid=15948134"", ""Input!A1:B2000""),2,FALSE()))"),"textual data (bug descriptions)")</f>
        <v>textual data (bug descriptions)</v>
      </c>
    </row>
    <row r="296" hidden="1">
      <c r="A296" s="1" t="s">
        <v>986</v>
      </c>
      <c r="B296" s="1" t="s">
        <v>999</v>
      </c>
      <c r="C296" s="1" t="s">
        <v>995</v>
      </c>
      <c r="D296" s="1" t="s">
        <v>996</v>
      </c>
      <c r="E296" s="1" t="s">
        <v>1000</v>
      </c>
      <c r="F296" s="14" t="s">
        <v>1001</v>
      </c>
      <c r="G296" s="1" t="s">
        <v>14</v>
      </c>
      <c r="H296" s="15" t="s">
        <v>990</v>
      </c>
      <c r="J296" s="8" t="str">
        <f>IFERROR(__xludf.DUMMYFUNCTION("IF(ISBLANK(F296),""NA"", VLOOKUP(F296,IMPORTRANGE(""https://docs.google.com/spreadsheets/d/1EdCvim__xyxvoo9WoburDTzYylznTCOJBHcnu7eurMw/edit?gid=15948134#gid=15948134"", ""Purpose!A1:B1000""),2,FALSE()))"),"to extract the vocabulary ")</f>
        <v>to extract the vocabulary </v>
      </c>
      <c r="K296" s="8" t="str">
        <f>IFERROR(__xludf.DUMMYFUNCTION("IF(ISBLANK(E296),""NA"", VLOOKUP(E296,IMPORTRANGE(""https://docs.google.com/spreadsheets/d/1EdCvim__xyxvoo9WoburDTzYylznTCOJBHcnu7eurMw/edit?gid=15948134#gid=15948134"", ""Technique!A1:B2000""),2,FALSE()))"),"compute the n-grams")</f>
        <v>compute the n-grams</v>
      </c>
      <c r="L296" s="8" t="str">
        <f>IFERROR(__xludf.DUMMYFUNCTION("IF(ISBLANK(D296),""NA"", VLOOKUP(D296,IMPORTRANGE(""https://docs.google.com/spreadsheets/d/1EdCvim__xyxvoo9WoburDTzYylznTCOJBHcnu7eurMw/edit?gid=15948134#gid=15948134"", ""Input!A1:B2000""),2,FALSE()))"),"textual data (bug descriptions)")</f>
        <v>textual data (bug descriptions)</v>
      </c>
    </row>
    <row r="297" hidden="1">
      <c r="A297" s="1" t="s">
        <v>986</v>
      </c>
      <c r="B297" s="1" t="s">
        <v>1002</v>
      </c>
      <c r="C297" s="1" t="s">
        <v>995</v>
      </c>
      <c r="D297" s="1" t="s">
        <v>1003</v>
      </c>
      <c r="E297" s="15" t="s">
        <v>1004</v>
      </c>
      <c r="F297" s="14" t="s">
        <v>1005</v>
      </c>
      <c r="G297" s="1" t="s">
        <v>54</v>
      </c>
      <c r="H297" s="15" t="s">
        <v>990</v>
      </c>
      <c r="J297" s="8" t="str">
        <f>IFERROR(__xludf.DUMMYFUNCTION("IF(ISBLANK(F297),""NA"", VLOOKUP(F297,IMPORTRANGE(""https://docs.google.com/spreadsheets/d/1EdCvim__xyxvoo9WoburDTzYylznTCOJBHcnu7eurMw/edit?gid=15948134#gid=15948134"", ""Purpose!A1:B1000""),2,FALSE()))"),"to train a model for classification tasks (i.e., classify bug descriptions as information or not missing)")</f>
        <v>to train a model for classification tasks (i.e., classify bug descriptions as information or not missing)</v>
      </c>
      <c r="K297" s="8" t="str">
        <f>IFERROR(__xludf.DUMMYFUNCTION("IF(ISBLANK(E297),""NA"", VLOOKUP(E297,IMPORTRANGE(""https://docs.google.com/spreadsheets/d/1EdCvim__xyxvoo9WoburDTzYylznTCOJBHcnu7eurMw/edit?gid=15948134#gid=15948134"", ""Technique!A1:B2000""),2,FALSE()))"),"use support vector machines, linear Supportor Vector Machines")</f>
        <v>use support vector machines, linear Supportor Vector Machines</v>
      </c>
      <c r="L297" s="8" t="str">
        <f>IFERROR(__xludf.DUMMYFUNCTION("IF(ISBLANK(D297),""NA"", VLOOKUP(D297,IMPORTRANGE(""https://docs.google.com/spreadsheets/d/1EdCvim__xyxvoo9WoburDTzYylznTCOJBHcnu7eurMw/edit?gid=15948134#gid=15948134"", ""Input!A1:B2000""),2,FALSE()))"),"model(s)' features")</f>
        <v>model(s)' features</v>
      </c>
    </row>
    <row r="298" hidden="1">
      <c r="A298" s="1" t="s">
        <v>986</v>
      </c>
      <c r="B298" s="1">
        <v>13.0</v>
      </c>
      <c r="C298" s="1" t="s">
        <v>995</v>
      </c>
      <c r="D298" s="1" t="s">
        <v>996</v>
      </c>
      <c r="E298" s="1" t="s">
        <v>1006</v>
      </c>
      <c r="F298" s="14" t="s">
        <v>1007</v>
      </c>
      <c r="G298" s="1" t="s">
        <v>14</v>
      </c>
      <c r="H298" s="15" t="s">
        <v>990</v>
      </c>
      <c r="J298" s="8" t="str">
        <f>IFERROR(__xludf.DUMMYFUNCTION("IF(ISBLANK(F298),""NA"", VLOOKUP(F298,IMPORTRANGE(""https://docs.google.com/spreadsheets/d/1EdCvim__xyxvoo9WoburDTzYylznTCOJBHcnu7eurMw/edit?gid=15948134#gid=15948134"", ""Purpose!A1:B1000""),2,FALSE()))"),"to extract features")</f>
        <v>to extract features</v>
      </c>
      <c r="K298" s="8" t="str">
        <f>IFERROR(__xludf.DUMMYFUNCTION("IF(ISBLANK(E298),""NA"", VLOOKUP(E298,IMPORTRANGE(""https://docs.google.com/spreadsheets/d/1EdCvim__xyxvoo9WoburDTzYylznTCOJBHcnu7eurMw/edit?gid=15948134#gid=15948134"", ""Technique!A1:B2000""),2,FALSE()))"),"extract the discourse patterns")</f>
        <v>extract the discourse patterns</v>
      </c>
      <c r="L298" s="8" t="str">
        <f>IFERROR(__xludf.DUMMYFUNCTION("IF(ISBLANK(D298),""NA"", VLOOKUP(D298,IMPORTRANGE(""https://docs.google.com/spreadsheets/d/1EdCvim__xyxvoo9WoburDTzYylznTCOJBHcnu7eurMw/edit?gid=15948134#gid=15948134"", ""Input!A1:B2000""),2,FALSE()))"),"textual data (bug descriptions)")</f>
        <v>textual data (bug descriptions)</v>
      </c>
    </row>
    <row r="299" hidden="1">
      <c r="A299" s="1" t="s">
        <v>986</v>
      </c>
      <c r="B299" s="1" t="s">
        <v>1008</v>
      </c>
      <c r="C299" s="1" t="s">
        <v>1009</v>
      </c>
      <c r="D299" s="1" t="s">
        <v>996</v>
      </c>
      <c r="E299" s="15" t="s">
        <v>1010</v>
      </c>
      <c r="F299" s="14" t="s">
        <v>1011</v>
      </c>
      <c r="G299" s="1" t="s">
        <v>20</v>
      </c>
      <c r="H299" s="15" t="s">
        <v>990</v>
      </c>
      <c r="J299" s="8" t="str">
        <f>IFERROR(__xludf.DUMMYFUNCTION("IF(ISBLANK(F299),""NA"", VLOOKUP(F299,IMPORTRANGE(""https://docs.google.com/spreadsheets/d/1EdCvim__xyxvoo9WoburDTzYylznTCOJBHcnu7eurMw/edit?gid=15948134#gid=15948134"", ""Purpose!A1:B1000""),2,FALSE()))"),"to pre-process the data")</f>
        <v>to pre-process the data</v>
      </c>
      <c r="K299" s="8" t="str">
        <f>IFERROR(__xludf.DUMMYFUNCTION("IF(ISBLANK(E299),""NA"", VLOOKUP(E299,IMPORTRANGE(""https://docs.google.com/spreadsheets/d/1EdCvim__xyxvoo9WoburDTzYylznTCOJBHcnu7eurMw/edit?gid=15948134#gid=15948134"", ""Technique!A1:B2000""),2,FALSE()))"),"apply stemming")</f>
        <v>apply stemming</v>
      </c>
      <c r="L299" s="8" t="str">
        <f>IFERROR(__xludf.DUMMYFUNCTION("IF(ISBLANK(D299),""NA"", VLOOKUP(D299,IMPORTRANGE(""https://docs.google.com/spreadsheets/d/1EdCvim__xyxvoo9WoburDTzYylznTCOJBHcnu7eurMw/edit?gid=15948134#gid=15948134"", ""Input!A1:B2000""),2,FALSE()))"),"textual data (bug descriptions)")</f>
        <v>textual data (bug descriptions)</v>
      </c>
    </row>
    <row r="300" hidden="1">
      <c r="A300" s="1" t="s">
        <v>986</v>
      </c>
      <c r="B300" s="1" t="s">
        <v>1012</v>
      </c>
      <c r="C300" s="1" t="s">
        <v>1013</v>
      </c>
      <c r="D300" s="1" t="s">
        <v>996</v>
      </c>
      <c r="E300" s="15" t="s">
        <v>1014</v>
      </c>
      <c r="F300" s="14" t="s">
        <v>1011</v>
      </c>
      <c r="G300" s="1" t="s">
        <v>20</v>
      </c>
      <c r="H300" s="15" t="s">
        <v>990</v>
      </c>
      <c r="J300" s="8" t="str">
        <f>IFERROR(__xludf.DUMMYFUNCTION("IF(ISBLANK(F300),""NA"", VLOOKUP(F300,IMPORTRANGE(""https://docs.google.com/spreadsheets/d/1EdCvim__xyxvoo9WoburDTzYylznTCOJBHcnu7eurMw/edit?gid=15948134#gid=15948134"", ""Purpose!A1:B1000""),2,FALSE()))"),"to pre-process the data")</f>
        <v>to pre-process the data</v>
      </c>
      <c r="K300" s="8" t="str">
        <f>IFERROR(__xludf.DUMMYFUNCTION("IF(ISBLANK(E300),""NA"", VLOOKUP(E300,IMPORTRANGE(""https://docs.google.com/spreadsheets/d/1EdCvim__xyxvoo9WoburDTzYylznTCOJBHcnu7eurMw/edit?gid=15948134#gid=15948134"", ""Technique!A1:B2000""),2,FALSE()))"),"remove stop words")</f>
        <v>remove stop words</v>
      </c>
      <c r="L300" s="8" t="str">
        <f>IFERROR(__xludf.DUMMYFUNCTION("IF(ISBLANK(D300),""NA"", VLOOKUP(D300,IMPORTRANGE(""https://docs.google.com/spreadsheets/d/1EdCvim__xyxvoo9WoburDTzYylznTCOJBHcnu7eurMw/edit?gid=15948134#gid=15948134"", ""Input!A1:B2000""),2,FALSE()))"),"textual data (bug descriptions)")</f>
        <v>textual data (bug descriptions)</v>
      </c>
    </row>
    <row r="301" hidden="1">
      <c r="A301" s="1" t="s">
        <v>986</v>
      </c>
      <c r="B301" s="1">
        <v>17.0</v>
      </c>
      <c r="C301" s="1" t="s">
        <v>1009</v>
      </c>
      <c r="D301" s="1" t="s">
        <v>996</v>
      </c>
      <c r="E301" s="15" t="s">
        <v>1015</v>
      </c>
      <c r="F301" s="14" t="s">
        <v>1016</v>
      </c>
      <c r="G301" s="1" t="s">
        <v>20</v>
      </c>
      <c r="H301" s="15" t="s">
        <v>990</v>
      </c>
      <c r="J301" s="8" t="str">
        <f>IFERROR(__xludf.DUMMYFUNCTION("IF(ISBLANK(F301),""NA"", VLOOKUP(F301,IMPORTRANGE(""https://docs.google.com/spreadsheets/d/1EdCvim__xyxvoo9WoburDTzYylznTCOJBHcnu7eurMw/edit?gid=15948134#gid=15948134"", ""Purpose!A1:B1000""),2,FALSE()))"),"to remove the noise in data")</f>
        <v>to remove the noise in data</v>
      </c>
      <c r="K301" s="8" t="str">
        <f>IFERROR(__xludf.DUMMYFUNCTION("IF(ISBLANK(E301),""NA"", VLOOKUP(E301,IMPORTRANGE(""https://docs.google.com/spreadsheets/d/1EdCvim__xyxvoo9WoburDTzYylznTCOJBHcnu7eurMw/edit?gid=15948134#gid=15948134"", ""Technique!A1:B2000""),2,FALSE()))"),"remove uninformative textual data")</f>
        <v>remove uninformative textual data</v>
      </c>
      <c r="L301" s="8" t="str">
        <f>IFERROR(__xludf.DUMMYFUNCTION("IF(ISBLANK(D301),""NA"", VLOOKUP(D301,IMPORTRANGE(""https://docs.google.com/spreadsheets/d/1EdCvim__xyxvoo9WoburDTzYylznTCOJBHcnu7eurMw/edit?gid=15948134#gid=15948134"", ""Input!A1:B2000""),2,FALSE()))"),"textual data (bug descriptions)")</f>
        <v>textual data (bug descriptions)</v>
      </c>
    </row>
    <row r="302" hidden="1">
      <c r="A302" s="1" t="s">
        <v>986</v>
      </c>
      <c r="B302" s="1">
        <v>18.0</v>
      </c>
      <c r="C302" s="1" t="s">
        <v>1009</v>
      </c>
      <c r="D302" s="1" t="s">
        <v>996</v>
      </c>
      <c r="E302" s="15" t="s">
        <v>1017</v>
      </c>
      <c r="F302" s="14" t="s">
        <v>1018</v>
      </c>
      <c r="G302" s="1" t="s">
        <v>20</v>
      </c>
      <c r="H302" s="15" t="s">
        <v>990</v>
      </c>
      <c r="J302" s="8" t="str">
        <f>IFERROR(__xludf.DUMMYFUNCTION("IF(ISBLANK(F302),""NA"", VLOOKUP(F302,IMPORTRANGE(""https://docs.google.com/spreadsheets/d/1EdCvim__xyxvoo9WoburDTzYylznTCOJBHcnu7eurMw/edit?gid=15948134#gid=15948134"", ""Purpose!A1:B1000""),2,FALSE()))"),"to remove the noise in data")</f>
        <v>to remove the noise in data</v>
      </c>
      <c r="K302" s="8" t="str">
        <f>IFERROR(__xludf.DUMMYFUNCTION("IF(ISBLANK(E302),""NA"", VLOOKUP(E302,IMPORTRANGE(""https://docs.google.com/spreadsheets/d/1EdCvim__xyxvoo9WoburDTzYylznTCOJBHcnu7eurMw/edit?gid=15948134#gid=15948134"", ""Technique!A1:B2000""),2,FALSE()))"),"replace special terms with sentinal tokens (i.e., URL) + remove punctuation + remove special characters")</f>
        <v>replace special terms with sentinal tokens (i.e., URL) + remove punctuation + remove special characters</v>
      </c>
      <c r="L302" s="8" t="str">
        <f>IFERROR(__xludf.DUMMYFUNCTION("IF(ISBLANK(D302),""NA"", VLOOKUP(D302,IMPORTRANGE(""https://docs.google.com/spreadsheets/d/1EdCvim__xyxvoo9WoburDTzYylznTCOJBHcnu7eurMw/edit?gid=15948134#gid=15948134"", ""Input!A1:B2000""),2,FALSE()))"),"textual data (bug descriptions)")</f>
        <v>textual data (bug descriptions)</v>
      </c>
    </row>
    <row r="303" hidden="1">
      <c r="A303" s="1" t="s">
        <v>986</v>
      </c>
      <c r="B303" s="1" t="s">
        <v>919</v>
      </c>
      <c r="C303" s="1" t="s">
        <v>1019</v>
      </c>
      <c r="D303" s="1" t="s">
        <v>1020</v>
      </c>
      <c r="E303" s="1" t="s">
        <v>1021</v>
      </c>
      <c r="F303" s="14" t="s">
        <v>1022</v>
      </c>
      <c r="G303" s="1" t="s">
        <v>20</v>
      </c>
      <c r="H303" s="15" t="s">
        <v>990</v>
      </c>
      <c r="J303" s="8" t="str">
        <f>IFERROR(__xludf.DUMMYFUNCTION("IF(ISBLANK(F303),""NA"", VLOOKUP(F303,IMPORTRANGE(""https://docs.google.com/spreadsheets/d/1EdCvim__xyxvoo9WoburDTzYylznTCOJBHcnu7eurMw/edit?gid=15948134#gid=15948134"", ""Purpose!A1:B1000""),2,FALSE()))"),"to split the data into different sets")</f>
        <v>to split the data into different sets</v>
      </c>
      <c r="K303" s="8" t="str">
        <f>IFERROR(__xludf.DUMMYFUNCTION("IF(ISBLANK(E303),""NA"", VLOOKUP(E303,IMPORTRANGE(""https://docs.google.com/spreadsheets/d/1EdCvim__xyxvoo9WoburDTzYylznTCOJBHcnu7eurMw/edit?gid=15948134#gid=15948134"", ""Technique!A1:B2000""),2,FALSE()))"),"split data into train, validation and test")</f>
        <v>split data into train, validation and test</v>
      </c>
      <c r="L303" s="8" t="str">
        <f>IFERROR(__xludf.DUMMYFUNCTION("IF(ISBLANK(D303),""NA"", VLOOKUP(D303,IMPORTRANGE(""https://docs.google.com/spreadsheets/d/1EdCvim__xyxvoo9WoburDTzYylznTCOJBHcnu7eurMw/edit?gid=15948134#gid=15948134"", ""Input!A1:B2000""),2,FALSE()))"),"textual data (bug reports) + SVM model(s)")</f>
        <v>textual data (bug reports) + SVM model(s)</v>
      </c>
    </row>
    <row r="304" hidden="1">
      <c r="A304" s="1" t="s">
        <v>986</v>
      </c>
      <c r="B304" s="1" t="s">
        <v>919</v>
      </c>
      <c r="C304" s="1" t="s">
        <v>1019</v>
      </c>
      <c r="D304" s="1" t="s">
        <v>1020</v>
      </c>
      <c r="E304" s="15" t="s">
        <v>1023</v>
      </c>
      <c r="F304" s="14" t="s">
        <v>1024</v>
      </c>
      <c r="G304" s="1" t="s">
        <v>54</v>
      </c>
      <c r="H304" s="15" t="s">
        <v>990</v>
      </c>
      <c r="J304" s="8" t="str">
        <f>IFERROR(__xludf.DUMMYFUNCTION("IF(ISBLANK(F304),""NA"", VLOOKUP(F304,IMPORTRANGE(""https://docs.google.com/spreadsheets/d/1EdCvim__xyxvoo9WoburDTzYylznTCOJBHcnu7eurMw/edit?gid=15948134#gid=15948134"", ""Purpose!A1:B1000""),2,FALSE()))"),"to optimize model(s)")</f>
        <v>to optimize model(s)</v>
      </c>
      <c r="K304" s="8" t="str">
        <f>IFERROR(__xludf.DUMMYFUNCTION("IF(ISBLANK(E304),""NA"", VLOOKUP(E304,IMPORTRANGE(""https://docs.google.com/spreadsheets/d/1EdCvim__xyxvoo9WoburDTzYylznTCOJBHcnu7eurMw/edit?gid=15948134#gid=15948134"", ""Technique!A1:B2000""),2,FALSE()))"),"hyperparameter tuning")</f>
        <v>hyperparameter tuning</v>
      </c>
      <c r="L304" s="8" t="str">
        <f>IFERROR(__xludf.DUMMYFUNCTION("IF(ISBLANK(D304),""NA"", VLOOKUP(D304,IMPORTRANGE(""https://docs.google.com/spreadsheets/d/1EdCvim__xyxvoo9WoburDTzYylznTCOJBHcnu7eurMw/edit?gid=15948134#gid=15948134"", ""Input!A1:B2000""),2,FALSE()))"),"textual data (bug reports) + SVM model(s)")</f>
        <v>textual data (bug reports) + SVM model(s)</v>
      </c>
    </row>
    <row r="305" hidden="1">
      <c r="A305" s="1" t="s">
        <v>986</v>
      </c>
      <c r="B305" s="1">
        <v>20.0</v>
      </c>
      <c r="C305" s="1" t="s">
        <v>1025</v>
      </c>
      <c r="D305" s="1" t="s">
        <v>1026</v>
      </c>
      <c r="E305" s="1" t="s">
        <v>933</v>
      </c>
      <c r="F305" s="14" t="s">
        <v>1027</v>
      </c>
      <c r="G305" s="1" t="s">
        <v>39</v>
      </c>
      <c r="H305" s="15" t="s">
        <v>990</v>
      </c>
      <c r="J305" s="8" t="str">
        <f>IFERROR(__xludf.DUMMYFUNCTION("IF(ISBLANK(F305),""NA"", VLOOKUP(F305,IMPORTRANGE(""https://docs.google.com/spreadsheets/d/1EdCvim__xyxvoo9WoburDTzYylznTCOJBHcnu7eurMw/edit?gid=15948134#gid=15948134"", ""Purpose!A1:B1000""),2,FALSE()))"),"to evaluate the model")</f>
        <v>to evaluate the model</v>
      </c>
      <c r="K305" s="8" t="str">
        <f>IFERROR(__xludf.DUMMYFUNCTION("IF(ISBLANK(E305),""NA"", VLOOKUP(E305,IMPORTRANGE(""https://docs.google.com/spreadsheets/d/1EdCvim__xyxvoo9WoburDTzYylznTCOJBHcnu7eurMw/edit?gid=15948134#gid=15948134"", ""Technique!A1:B2000""),2,FALSE()))"),"cross validation")</f>
        <v>cross validation</v>
      </c>
      <c r="L305" s="8" t="str">
        <f>IFERROR(__xludf.DUMMYFUNCTION("IF(ISBLANK(D305),""NA"", VLOOKUP(D305,IMPORTRANGE(""https://docs.google.com/spreadsheets/d/1EdCvim__xyxvoo9WoburDTzYylznTCOJBHcnu7eurMw/edit?gid=15948134#gid=15948134"", ""Input!A1:B2000""),2,FALSE()))"),"data + model(s)")</f>
        <v>data + model(s)</v>
      </c>
    </row>
    <row r="306" hidden="1">
      <c r="A306" s="1" t="s">
        <v>986</v>
      </c>
      <c r="B306" s="1" t="s">
        <v>1028</v>
      </c>
      <c r="C306" s="1" t="s">
        <v>1025</v>
      </c>
      <c r="D306" s="1" t="s">
        <v>1026</v>
      </c>
      <c r="E306" s="1" t="s">
        <v>1029</v>
      </c>
      <c r="F306" s="14" t="s">
        <v>1027</v>
      </c>
      <c r="G306" s="1" t="s">
        <v>39</v>
      </c>
      <c r="H306" s="15" t="s">
        <v>990</v>
      </c>
      <c r="J306" s="8" t="str">
        <f>IFERROR(__xludf.DUMMYFUNCTION("IF(ISBLANK(F306),""NA"", VLOOKUP(F306,IMPORTRANGE(""https://docs.google.com/spreadsheets/d/1EdCvim__xyxvoo9WoburDTzYylznTCOJBHcnu7eurMw/edit?gid=15948134#gid=15948134"", ""Purpose!A1:B1000""),2,FALSE()))"),"to evaluate the model")</f>
        <v>to evaluate the model</v>
      </c>
      <c r="K306" s="8" t="str">
        <f>IFERROR(__xludf.DUMMYFUNCTION("IF(ISBLANK(E306),""NA"", VLOOKUP(E306,IMPORTRANGE(""https://docs.google.com/spreadsheets/d/1EdCvim__xyxvoo9WoburDTzYylznTCOJBHcnu7eurMw/edit?gid=15948134#gid=15948134"", ""Technique!A1:B2000""),2,FALSE()))"),"compute classical metrics (i.e., Precision, Recall. F-meassure)")</f>
        <v>compute classical metrics (i.e., Precision, Recall. F-meassure)</v>
      </c>
      <c r="L306" s="8" t="str">
        <f>IFERROR(__xludf.DUMMYFUNCTION("IF(ISBLANK(D306),""NA"", VLOOKUP(D306,IMPORTRANGE(""https://docs.google.com/spreadsheets/d/1EdCvim__xyxvoo9WoburDTzYylznTCOJBHcnu7eurMw/edit?gid=15948134#gid=15948134"", ""Input!A1:B2000""),2,FALSE()))"),"data + model(s)")</f>
        <v>data + model(s)</v>
      </c>
    </row>
    <row r="307" hidden="1">
      <c r="A307" s="1" t="s">
        <v>1030</v>
      </c>
      <c r="B307" s="1" t="s">
        <v>1031</v>
      </c>
      <c r="C307" s="1" t="s">
        <v>1032</v>
      </c>
      <c r="E307" s="14" t="s">
        <v>1033</v>
      </c>
      <c r="F307" s="14" t="s">
        <v>989</v>
      </c>
      <c r="G307" s="1" t="s">
        <v>44</v>
      </c>
      <c r="H307" s="15" t="s">
        <v>1034</v>
      </c>
      <c r="J307" s="8" t="str">
        <f>IFERROR(__xludf.DUMMYFUNCTION("IF(ISBLANK(F307),""NA"", VLOOKUP(F307,IMPORTRANGE(""https://docs.google.com/spreadsheets/d/1EdCvim__xyxvoo9WoburDTzYylznTCOJBHcnu7eurMw/edit?gid=15948134#gid=15948134"", ""Purpose!A1:B1000""),2,FALSE()))"),"to collect data")</f>
        <v>to collect data</v>
      </c>
      <c r="K307" s="8" t="str">
        <f>IFERROR(__xludf.DUMMYFUNCTION("IF(ISBLANK(E307),""NA"", VLOOKUP(E307,IMPORTRANGE(""https://docs.google.com/spreadsheets/d/1EdCvim__xyxvoo9WoburDTzYylznTCOJBHcnu7eurMw/edit?gid=15948134#gid=15948134"", ""Technique!A1:B2000""),2,FALSE()))"),"use repositories (e.g., github)")</f>
        <v>use repositories (e.g., github)</v>
      </c>
      <c r="L307" s="8" t="str">
        <f>IFERROR(__xludf.DUMMYFUNCTION("IF(ISBLANK(D307),""NA"", VLOOKUP(D307,IMPORTRANGE(""https://docs.google.com/spreadsheets/d/1EdCvim__xyxvoo9WoburDTzYylznTCOJBHcnu7eurMw/edit?gid=15948134#gid=15948134"", ""Input!A1:B2000""),2,FALSE()))"),"NA")</f>
        <v>NA</v>
      </c>
    </row>
    <row r="308" hidden="1">
      <c r="A308" s="1" t="s">
        <v>1030</v>
      </c>
      <c r="B308" s="1">
        <v>2.0</v>
      </c>
      <c r="C308" s="1" t="s">
        <v>1035</v>
      </c>
      <c r="D308" s="1" t="s">
        <v>1036</v>
      </c>
      <c r="E308" s="16" t="s">
        <v>1037</v>
      </c>
      <c r="G308" s="1" t="s">
        <v>20</v>
      </c>
      <c r="H308" s="15" t="s">
        <v>1034</v>
      </c>
      <c r="J308" s="8" t="str">
        <f>IFERROR(__xludf.DUMMYFUNCTION("IF(ISBLANK(F308),""NA"", VLOOKUP(F308,IMPORTRANGE(""https://docs.google.com/spreadsheets/d/1EdCvim__xyxvoo9WoburDTzYylznTCOJBHcnu7eurMw/edit?gid=15948134#gid=15948134"", ""Purpose!A1:B1000""),2,FALSE()))"),"NA")</f>
        <v>NA</v>
      </c>
      <c r="K308" s="8" t="str">
        <f>IFERROR(__xludf.DUMMYFUNCTION("IF(ISBLANK(E308),""NA"", VLOOKUP(E308,IMPORTRANGE(""https://docs.google.com/spreadsheets/d/1EdCvim__xyxvoo9WoburDTzYylznTCOJBHcnu7eurMw/edit?gid=15948134#gid=15948134"", ""Technique!A1:B2000""),2,FALSE()))"),"extract only API calls")</f>
        <v>extract only API calls</v>
      </c>
      <c r="L308" s="8" t="str">
        <f>IFERROR(__xludf.DUMMYFUNCTION("IF(ISBLANK(D308),""NA"", VLOOKUP(D308,IMPORTRANGE(""https://docs.google.com/spreadsheets/d/1EdCvim__xyxvoo9WoburDTzYylznTCOJBHcnu7eurMw/edit?gid=15948134#gid=15948134"", ""Input!A1:B2000""),2,FALSE()))"),"code data")</f>
        <v>code data</v>
      </c>
    </row>
    <row r="309" hidden="1">
      <c r="A309" s="1" t="s">
        <v>1030</v>
      </c>
      <c r="B309" s="1">
        <v>3.0</v>
      </c>
      <c r="C309" s="1" t="s">
        <v>1038</v>
      </c>
      <c r="D309" s="1" t="s">
        <v>1039</v>
      </c>
      <c r="E309" s="16" t="s">
        <v>1040</v>
      </c>
      <c r="F309" s="14" t="s">
        <v>1041</v>
      </c>
      <c r="G309" s="1" t="s">
        <v>54</v>
      </c>
      <c r="H309" s="15" t="s">
        <v>1034</v>
      </c>
      <c r="J309" s="8" t="str">
        <f>IFERROR(__xludf.DUMMYFUNCTION("IF(ISBLANK(F309),""NA"", VLOOKUP(F309,IMPORTRANGE(""https://docs.google.com/spreadsheets/d/1EdCvim__xyxvoo9WoburDTzYylznTCOJBHcnu7eurMw/edit?gid=15948134#gid=15948134"", ""Purpose!A1:B1000""),2,FALSE()))"),"to train a model for mining API call patterns")</f>
        <v>to train a model for mining API call patterns</v>
      </c>
      <c r="K309" s="8" t="str">
        <f>IFERROR(__xludf.DUMMYFUNCTION("IF(ISBLANK(E309),""NA"", VLOOKUP(E309,IMPORTRANGE(""https://docs.google.com/spreadsheets/d/1EdCvim__xyxvoo9WoburDTzYylznTCOJBHcnu7eurMw/edit?gid=15948134#gid=15948134"", ""Technique!A1:B2000""),2,FALSE()))"),"use a probabilistic model")</f>
        <v>use a probabilistic model</v>
      </c>
      <c r="L309" s="8" t="str">
        <f>IFERROR(__xludf.DUMMYFUNCTION("IF(ISBLANK(D309),""NA"", VLOOKUP(D309,IMPORTRANGE(""https://docs.google.com/spreadsheets/d/1EdCvim__xyxvoo9WoburDTzYylznTCOJBHcnu7eurMw/edit?gid=15948134#gid=15948134"", ""Input!A1:B2000""),2,FALSE()))"),"code data (api calls)")</f>
        <v>code data (api calls)</v>
      </c>
    </row>
    <row r="310" hidden="1">
      <c r="A310" s="1" t="s">
        <v>1030</v>
      </c>
      <c r="B310" s="1" t="s">
        <v>1042</v>
      </c>
      <c r="C310" s="1" t="s">
        <v>1043</v>
      </c>
      <c r="D310" s="1" t="s">
        <v>1040</v>
      </c>
      <c r="E310" s="16" t="s">
        <v>1044</v>
      </c>
      <c r="F310" s="14" t="s">
        <v>1045</v>
      </c>
      <c r="G310" s="1" t="s">
        <v>54</v>
      </c>
      <c r="H310" s="15" t="s">
        <v>1034</v>
      </c>
      <c r="J310" s="8" t="str">
        <f>IFERROR(__xludf.DUMMYFUNCTION("IF(ISBLANK(F310),""NA"", VLOOKUP(F310,IMPORTRANGE(""https://docs.google.com/spreadsheets/d/1EdCvim__xyxvoo9WoburDTzYylznTCOJBHcnu7eurMw/edit?gid=15948134#gid=15948134"", ""Purpose!A1:B1000""),2,FALSE()))"),"to optimize model(s)")</f>
        <v>to optimize model(s)</v>
      </c>
      <c r="K310" s="8" t="str">
        <f>IFERROR(__xludf.DUMMYFUNCTION("IF(ISBLANK(E310),""NA"", VLOOKUP(E310,IMPORTRANGE(""https://docs.google.com/spreadsheets/d/1EdCvim__xyxvoo9WoburDTzYylznTCOJBHcnu7eurMw/edit?gid=15948134#gid=15948134"", ""Technique!A1:B2000""),2,FALSE()))"),"use Structural Expectation Maximization")</f>
        <v>use Structural Expectation Maximization</v>
      </c>
      <c r="L310" s="8" t="str">
        <f>IFERROR(__xludf.DUMMYFUNCTION("IF(ISBLANK(D310),""NA"", VLOOKUP(D310,IMPORTRANGE(""https://docs.google.com/spreadsheets/d/1EdCvim__xyxvoo9WoburDTzYylznTCOJBHcnu7eurMw/edit?gid=15948134#gid=15948134"", ""Input!A1:B2000""),2,FALSE()))"),"probabilistic model(s)")</f>
        <v>probabilistic model(s)</v>
      </c>
    </row>
    <row r="311" hidden="1">
      <c r="A311" s="1" t="s">
        <v>1030</v>
      </c>
      <c r="B311" s="1">
        <v>7.0</v>
      </c>
      <c r="C311" s="1" t="s">
        <v>1046</v>
      </c>
      <c r="D311" s="1" t="s">
        <v>1047</v>
      </c>
      <c r="E311" s="16" t="s">
        <v>1048</v>
      </c>
      <c r="F311" s="9" t="s">
        <v>1049</v>
      </c>
      <c r="G311" s="1" t="s">
        <v>54</v>
      </c>
      <c r="H311" s="15" t="s">
        <v>1034</v>
      </c>
      <c r="J311" s="8" t="str">
        <f>IFERROR(__xludf.DUMMYFUNCTION("IF(ISBLANK(F311),""NA"", VLOOKUP(F311,IMPORTRANGE(""https://docs.google.com/spreadsheets/d/1EdCvim__xyxvoo9WoburDTzYylznTCOJBHcnu7eurMw/edit?gid=15948134#gid=15948134"", ""Purpose!A1:B1000""),2,FALSE()))"),"to infer API calls")</f>
        <v>to infer API calls</v>
      </c>
      <c r="K311" s="8" t="str">
        <f>IFERROR(__xludf.DUMMYFUNCTION("IF(ISBLANK(E311),""NA"", VLOOKUP(E311,IMPORTRANGE(""https://docs.google.com/spreadsheets/d/1EdCvim__xyxvoo9WoburDTzYylznTCOJBHcnu7eurMw/edit?gid=15948134#gid=15948134"", ""Technique!A1:B2000""),2,FALSE()))"),"use general and specific patterns")</f>
        <v>use general and specific patterns</v>
      </c>
      <c r="L311" s="8" t="str">
        <f>IFERROR(__xludf.DUMMYFUNCTION("IF(ISBLANK(D311),""NA"", VLOOKUP(D311,IMPORTRANGE(""https://docs.google.com/spreadsheets/d/1EdCvim__xyxvoo9WoburDTzYylznTCOJBHcnu7eurMw/edit?gid=15948134#gid=15948134"", ""Input!A1:B2000""),2,FALSE()))"),"code data (api usage patterns)")</f>
        <v>code data (api usage patterns)</v>
      </c>
    </row>
    <row r="312" hidden="1">
      <c r="A312" s="1" t="s">
        <v>1030</v>
      </c>
      <c r="B312" s="1" t="s">
        <v>1050</v>
      </c>
      <c r="C312" s="1" t="s">
        <v>1051</v>
      </c>
      <c r="E312" s="16" t="s">
        <v>1052</v>
      </c>
      <c r="F312" s="14" t="s">
        <v>1053</v>
      </c>
      <c r="G312" s="1" t="s">
        <v>20</v>
      </c>
      <c r="H312" s="15" t="s">
        <v>1034</v>
      </c>
      <c r="J312" s="8" t="str">
        <f>IFERROR(__xludf.DUMMYFUNCTION("IF(ISBLANK(F312),""NA"", VLOOKUP(F312,IMPORTRANGE(""https://docs.google.com/spreadsheets/d/1EdCvim__xyxvoo9WoburDTzYylznTCOJBHcnu7eurMw/edit?gid=15948134#gid=15948134"", ""Purpose!A1:B1000""),2,FALSE()))"),"to split the data into different sets")</f>
        <v>to split the data into different sets</v>
      </c>
      <c r="K312" s="8" t="str">
        <f>IFERROR(__xludf.DUMMYFUNCTION("IF(ISBLANK(E312),""NA"", VLOOKUP(E312,IMPORTRANGE(""https://docs.google.com/spreadsheets/d/1EdCvim__xyxvoo9WoburDTzYylznTCOJBHcnu7eurMw/edit?gid=15948134#gid=15948134"", ""Technique!A1:B2000""),2,FALSE()))"),"split data into train and test")</f>
        <v>split data into train and test</v>
      </c>
      <c r="L312" s="8" t="str">
        <f>IFERROR(__xludf.DUMMYFUNCTION("IF(ISBLANK(D312),""NA"", VLOOKUP(D312,IMPORTRANGE(""https://docs.google.com/spreadsheets/d/1EdCvim__xyxvoo9WoburDTzYylznTCOJBHcnu7eurMw/edit?gid=15948134#gid=15948134"", ""Input!A1:B2000""),2,FALSE()))"),"NA")</f>
        <v>NA</v>
      </c>
    </row>
    <row r="313" hidden="1">
      <c r="A313" s="1" t="s">
        <v>1030</v>
      </c>
      <c r="B313" s="1" t="s">
        <v>1054</v>
      </c>
      <c r="C313" s="1" t="s">
        <v>1055</v>
      </c>
      <c r="D313" s="1" t="s">
        <v>1056</v>
      </c>
      <c r="E313" s="14" t="s">
        <v>719</v>
      </c>
      <c r="F313" s="14" t="s">
        <v>434</v>
      </c>
      <c r="G313" s="1" t="s">
        <v>39</v>
      </c>
      <c r="H313" s="15" t="s">
        <v>1034</v>
      </c>
      <c r="J313" s="8" t="str">
        <f>IFERROR(__xludf.DUMMYFUNCTION("IF(ISBLANK(F313),""NA"", VLOOKUP(F313,IMPORTRANGE(""https://docs.google.com/spreadsheets/d/1EdCvim__xyxvoo9WoburDTzYylznTCOJBHcnu7eurMw/edit?gid=15948134#gid=15948134"", ""Purpose!A1:B1000""),2,FALSE()))"),"to evaluate model(s) functionally (e.g., accuracy)")</f>
        <v>to evaluate model(s) functionally (e.g., accuracy)</v>
      </c>
      <c r="K313" s="8" t="str">
        <f>IFERROR(__xludf.DUMMYFUNCTION("IF(ISBLANK(E313),""NA"", VLOOKUP(E313,IMPORTRANGE(""https://docs.google.com/spreadsheets/d/1EdCvim__xyxvoo9WoburDTzYylznTCOJBHcnu7eurMw/edit?gid=15948134#gid=15948134"", ""Technique!A1:B2000""),2,FALSE()))"),"compute classical metrics (i.e., Precision, Recall)")</f>
        <v>compute classical metrics (i.e., Precision, Recall)</v>
      </c>
      <c r="L313" s="8" t="str">
        <f>IFERROR(__xludf.DUMMYFUNCTION("IF(ISBLANK(D313),""NA"", VLOOKUP(D313,IMPORTRANGE(""https://docs.google.com/spreadsheets/d/1EdCvim__xyxvoo9WoburDTzYylznTCOJBHcnu7eurMw/edit?gid=15948134#gid=15948134"", ""Input!A1:B2000""),2,FALSE()))"),"data (test set) + model(s)")</f>
        <v>data (test set) + model(s)</v>
      </c>
    </row>
    <row r="314" hidden="1">
      <c r="A314" s="1" t="s">
        <v>1057</v>
      </c>
      <c r="B314" s="1" t="s">
        <v>1031</v>
      </c>
      <c r="C314" s="1" t="s">
        <v>1058</v>
      </c>
      <c r="D314" s="1" t="s">
        <v>1059</v>
      </c>
      <c r="E314" s="16" t="s">
        <v>1060</v>
      </c>
      <c r="F314" s="14" t="s">
        <v>1061</v>
      </c>
      <c r="G314" s="1" t="s">
        <v>54</v>
      </c>
      <c r="H314" s="15" t="s">
        <v>488</v>
      </c>
      <c r="J314" s="8" t="str">
        <f>IFERROR(__xludf.DUMMYFUNCTION("IF(ISBLANK(F314),""NA"", VLOOKUP(F314,IMPORTRANGE(""https://docs.google.com/spreadsheets/d/1EdCvim__xyxvoo9WoburDTzYylznTCOJBHcnu7eurMw/edit?gid=15948134#gid=15948134"", ""Purpose!A1:B1000""),2,FALSE()))"),"to train a model for generation tasks (i.e., understanding and generating code)")</f>
        <v>to train a model for generation tasks (i.e., understanding and generating code)</v>
      </c>
      <c r="K314" s="8" t="str">
        <f>IFERROR(__xludf.DUMMYFUNCTION("IF(ISBLANK(E314),""NA"", VLOOKUP(E314,IMPORTRANGE(""https://docs.google.com/spreadsheets/d/1EdCvim__xyxvoo9WoburDTzYylznTCOJBHcnu7eurMw/edit?gid=15948134#gid=15948134"", ""Technique!A1:B2000""),2,FALSE()))"),"use transformer models")</f>
        <v>use transformer models</v>
      </c>
      <c r="L314" s="8" t="str">
        <f>IFERROR(__xludf.DUMMYFUNCTION("IF(ISBLANK(D314),""NA"", VLOOKUP(D314,IMPORTRANGE(""https://docs.google.com/spreadsheets/d/1EdCvim__xyxvoo9WoburDTzYylznTCOJBHcnu7eurMw/edit?gid=15948134#gid=15948134"", ""Input!A1:B2000""),2,FALSE()))"),"token representation (code data)")</f>
        <v>token representation (code data)</v>
      </c>
    </row>
    <row r="315" hidden="1">
      <c r="A315" s="1" t="s">
        <v>1057</v>
      </c>
      <c r="B315" s="1">
        <v>11.0</v>
      </c>
      <c r="C315" s="1" t="s">
        <v>1058</v>
      </c>
      <c r="D315" s="1" t="s">
        <v>1059</v>
      </c>
      <c r="E315" s="29" t="s">
        <v>1062</v>
      </c>
      <c r="F315" s="30" t="s">
        <v>1063</v>
      </c>
      <c r="G315" s="30" t="s">
        <v>54</v>
      </c>
      <c r="H315" s="29" t="s">
        <v>488</v>
      </c>
      <c r="I315" s="1" t="s">
        <v>1064</v>
      </c>
      <c r="J315" s="9" t="str">
        <f>IFERROR(__xludf.DUMMYFUNCTION("IF(ISBLANK(F315),""NA"", VLOOKUP(F315,IMPORTRANGE(""https://docs.google.com/spreadsheets/d/1EdCvim__xyxvoo9WoburDTzYylznTCOJBHcnu7eurMw/edit?gid=15948134#gid=15948134"", ""Purpose!A1:B1000""),2,FALSE()))"),"#N/A")</f>
        <v>#N/A</v>
      </c>
      <c r="K315" s="8" t="str">
        <f>IFERROR(__xludf.DUMMYFUNCTION("IF(ISBLANK(E315),""NA"", VLOOKUP(E315,IMPORTRANGE(""https://docs.google.com/spreadsheets/d/1EdCvim__xyxvoo9WoburDTzYylznTCOJBHcnu7eurMw/edit?gid=15948134#gid=15948134"", ""Technique!A1:B2000""),2,FALSE()))"),"#N/A")</f>
        <v>#N/A</v>
      </c>
      <c r="L315" s="8" t="str">
        <f>IFERROR(__xludf.DUMMYFUNCTION("IF(ISBLANK(D315),""NA"", VLOOKUP(D315,IMPORTRANGE(""https://docs.google.com/spreadsheets/d/1EdCvim__xyxvoo9WoburDTzYylznTCOJBHcnu7eurMw/edit?gid=15948134#gid=15948134"", ""Input!A1:B2000""),2,FALSE()))"),"token representation (code data)")</f>
        <v>token representation (code data)</v>
      </c>
    </row>
    <row r="316" hidden="1">
      <c r="A316" s="1" t="s">
        <v>1057</v>
      </c>
      <c r="B316" s="1">
        <v>12.0</v>
      </c>
      <c r="C316" s="1" t="s">
        <v>1065</v>
      </c>
      <c r="D316" s="1" t="s">
        <v>1036</v>
      </c>
      <c r="E316" s="14" t="s">
        <v>1066</v>
      </c>
      <c r="F316" s="31" t="s">
        <v>1067</v>
      </c>
      <c r="G316" s="1" t="s">
        <v>14</v>
      </c>
      <c r="H316" s="15" t="s">
        <v>488</v>
      </c>
      <c r="I316" s="1" t="s">
        <v>1064</v>
      </c>
      <c r="J316" s="32" t="str">
        <f>IFERROR(__xludf.DUMMYFUNCTION("IF(ISBLANK(F316),""NA"", VLOOKUP(F316,IMPORTRANGE(""https://docs.google.com/spreadsheets/d/1EdCvim__xyxvoo9WoburDTzYylznTCOJBHcnu7eurMw/edit?gid=15948134#gid=15948134"", ""Purpose!A1:B1000""),2,FALSE()))"),"#N/A")</f>
        <v>#N/A</v>
      </c>
      <c r="K316" s="8" t="str">
        <f>IFERROR(__xludf.DUMMYFUNCTION("IF(ISBLANK(E316),""NA"", VLOOKUP(E316,IMPORTRANGE(""https://docs.google.com/spreadsheets/d/1EdCvim__xyxvoo9WoburDTzYylznTCOJBHcnu7eurMw/edit?gid=15948134#gid=15948134"", ""Technique!A1:B2000""),2,FALSE()))"),"#N/A")</f>
        <v>#N/A</v>
      </c>
      <c r="L316" s="8" t="str">
        <f>IFERROR(__xludf.DUMMYFUNCTION("IF(ISBLANK(D316),""NA"", VLOOKUP(D316,IMPORTRANGE(""https://docs.google.com/spreadsheets/d/1EdCvim__xyxvoo9WoburDTzYylznTCOJBHcnu7eurMw/edit?gid=15948134#gid=15948134"", ""Input!A1:B2000""),2,FALSE()))"),"code data")</f>
        <v>code data</v>
      </c>
    </row>
    <row r="317" hidden="1">
      <c r="A317" s="1" t="s">
        <v>1057</v>
      </c>
      <c r="B317" s="1" t="s">
        <v>1068</v>
      </c>
      <c r="C317" s="1" t="s">
        <v>1069</v>
      </c>
      <c r="D317" s="1" t="s">
        <v>1070</v>
      </c>
      <c r="E317" s="16" t="s">
        <v>1071</v>
      </c>
      <c r="F317" s="14" t="s">
        <v>1072</v>
      </c>
      <c r="G317" s="1" t="s">
        <v>54</v>
      </c>
      <c r="H317" s="15" t="s">
        <v>488</v>
      </c>
      <c r="J317" s="8" t="str">
        <f>IFERROR(__xludf.DUMMYFUNCTION("IF(ISBLANK(F317),""NA"", VLOOKUP(F317,IMPORTRANGE(""https://docs.google.com/spreadsheets/d/1EdCvim__xyxvoo9WoburDTzYylznTCOJBHcnu7eurMw/edit?gid=15948134#gid=15948134"", ""Purpose!A1:B1000""),2,FALSE()))"),"to pre-train a model for code understanding and completion")</f>
        <v>to pre-train a model for code understanding and completion</v>
      </c>
      <c r="K317" s="8" t="str">
        <f>IFERROR(__xludf.DUMMYFUNCTION("IF(ISBLANK(E317),""NA"", VLOOKUP(E317,IMPORTRANGE(""https://docs.google.com/spreadsheets/d/1EdCvim__xyxvoo9WoburDTzYylznTCOJBHcnu7eurMw/edit?gid=15948134#gid=15948134"", ""Technique!A1:B2000""),2,FALSE()))"),"use masked bidirectional language task")</f>
        <v>use masked bidirectional language task</v>
      </c>
      <c r="L317" s="8" t="str">
        <f>IFERROR(__xludf.DUMMYFUNCTION("IF(ISBLANK(D317),""NA"", VLOOKUP(D317,IMPORTRANGE(""https://docs.google.com/spreadsheets/d/1EdCvim__xyxvoo9WoburDTzYylznTCOJBHcnu7eurMw/edit?gid=15948134#gid=15948134"", ""Input!A1:B2000""),2,FALSE()))"),"data (pre-training set)")</f>
        <v>data (pre-training set)</v>
      </c>
    </row>
    <row r="318" hidden="1">
      <c r="A318" s="1" t="s">
        <v>1057</v>
      </c>
      <c r="B318" s="1" t="s">
        <v>1073</v>
      </c>
      <c r="C318" s="1" t="s">
        <v>1069</v>
      </c>
      <c r="D318" s="1" t="s">
        <v>1070</v>
      </c>
      <c r="E318" s="16" t="s">
        <v>1074</v>
      </c>
      <c r="F318" s="14" t="s">
        <v>1075</v>
      </c>
      <c r="G318" s="1" t="s">
        <v>54</v>
      </c>
      <c r="H318" s="15" t="s">
        <v>488</v>
      </c>
      <c r="J318" s="8" t="str">
        <f>IFERROR(__xludf.DUMMYFUNCTION("IF(ISBLANK(F318),""NA"", VLOOKUP(F318,IMPORTRANGE(""https://docs.google.com/spreadsheets/d/1EdCvim__xyxvoo9WoburDTzYylznTCOJBHcnu7eurMw/edit?gid=15948134#gid=15948134"", ""Purpose!A1:B1000""),2,FALSE()))"),"to pre-train a model for code understanding and completion")</f>
        <v>to pre-train a model for code understanding and completion</v>
      </c>
      <c r="K318" s="8" t="str">
        <f>IFERROR(__xludf.DUMMYFUNCTION("IF(ISBLANK(E318),""NA"", VLOOKUP(E318,IMPORTRANGE(""https://docs.google.com/spreadsheets/d/1EdCvim__xyxvoo9WoburDTzYylznTCOJBHcnu7eurMw/edit?gid=15948134#gid=15948134"", ""Technique!A1:B2000""),2,FALSE()))"),"use next code segment prediction task")</f>
        <v>use next code segment prediction task</v>
      </c>
      <c r="L318" s="8" t="str">
        <f>IFERROR(__xludf.DUMMYFUNCTION("IF(ISBLANK(D318),""NA"", VLOOKUP(D318,IMPORTRANGE(""https://docs.google.com/spreadsheets/d/1EdCvim__xyxvoo9WoburDTzYylznTCOJBHcnu7eurMw/edit?gid=15948134#gid=15948134"", ""Input!A1:B2000""),2,FALSE()))"),"data (pre-training set)")</f>
        <v>data (pre-training set)</v>
      </c>
    </row>
    <row r="319" hidden="1">
      <c r="A319" s="1" t="s">
        <v>1057</v>
      </c>
      <c r="B319" s="1" t="s">
        <v>1076</v>
      </c>
      <c r="C319" s="1" t="s">
        <v>1069</v>
      </c>
      <c r="D319" s="1" t="s">
        <v>1070</v>
      </c>
      <c r="E319" s="16" t="s">
        <v>1077</v>
      </c>
      <c r="F319" s="14" t="s">
        <v>1078</v>
      </c>
      <c r="G319" s="1" t="s">
        <v>54</v>
      </c>
      <c r="H319" s="15" t="s">
        <v>488</v>
      </c>
      <c r="J319" s="8" t="str">
        <f>IFERROR(__xludf.DUMMYFUNCTION("IF(ISBLANK(F319),""NA"", VLOOKUP(F319,IMPORTRANGE(""https://docs.google.com/spreadsheets/d/1EdCvim__xyxvoo9WoburDTzYylznTCOJBHcnu7eurMw/edit?gid=15948134#gid=15948134"", ""Purpose!A1:B1000""),2,FALSE()))"),"to pre-train a model for code understanding and completion")</f>
        <v>to pre-train a model for code understanding and completion</v>
      </c>
      <c r="K319" s="8" t="str">
        <f>IFERROR(__xludf.DUMMYFUNCTION("IF(ISBLANK(E319),""NA"", VLOOKUP(E319,IMPORTRANGE(""https://docs.google.com/spreadsheets/d/1EdCvim__xyxvoo9WoburDTzYylznTCOJBHcnu7eurMw/edit?gid=15948134#gid=15948134"", ""Technique!A1:B2000""),2,FALSE()))"),"use unidirectional language modeling task")</f>
        <v>use unidirectional language modeling task</v>
      </c>
      <c r="L319" s="8" t="str">
        <f>IFERROR(__xludf.DUMMYFUNCTION("IF(ISBLANK(D319),""NA"", VLOOKUP(D319,IMPORTRANGE(""https://docs.google.com/spreadsheets/d/1EdCvim__xyxvoo9WoburDTzYylznTCOJBHcnu7eurMw/edit?gid=15948134#gid=15948134"", ""Input!A1:B2000""),2,FALSE()))"),"data (pre-training set)")</f>
        <v>data (pre-training set)</v>
      </c>
    </row>
    <row r="320" hidden="1">
      <c r="A320" s="1" t="s">
        <v>1057</v>
      </c>
      <c r="B320" s="1">
        <v>16.0</v>
      </c>
      <c r="C320" s="1" t="s">
        <v>1079</v>
      </c>
      <c r="D320" s="1" t="s">
        <v>1080</v>
      </c>
      <c r="E320" s="16" t="s">
        <v>1081</v>
      </c>
      <c r="F320" s="14" t="s">
        <v>1082</v>
      </c>
      <c r="G320" s="1" t="s">
        <v>54</v>
      </c>
      <c r="H320" s="15" t="s">
        <v>488</v>
      </c>
      <c r="J320" s="8" t="str">
        <f>IFERROR(__xludf.DUMMYFUNCTION("IF(ISBLANK(F320),""NA"", VLOOKUP(F320,IMPORTRANGE(""https://docs.google.com/spreadsheets/d/1EdCvim__xyxvoo9WoburDTzYylznTCOJBHcnu7eurMw/edit?gid=15948134#gid=15948134"", ""Purpose!A1:B1000""),2,FALSE()))"),"to train a model for generation tasks (i.e., code completition)")</f>
        <v>to train a model for generation tasks (i.e., code completition)</v>
      </c>
      <c r="K320" s="8" t="str">
        <f>IFERROR(__xludf.DUMMYFUNCTION("IF(ISBLANK(E320),""NA"", VLOOKUP(E320,IMPORTRANGE(""https://docs.google.com/spreadsheets/d/1EdCvim__xyxvoo9WoburDTzYylznTCOJBHcnu7eurMw/edit?gid=15948134#gid=15948134"", ""Technique!A1:B2000""),2,FALSE()))"),"select pretrained models, fine tune for unidirectional masked language model")</f>
        <v>select pretrained models, fine tune for unidirectional masked language model</v>
      </c>
      <c r="L320" s="8" t="str">
        <f>IFERROR(__xludf.DUMMYFUNCTION("IF(ISBLANK(D320),""NA"", VLOOKUP(D320,IMPORTRANGE(""https://docs.google.com/spreadsheets/d/1EdCvim__xyxvoo9WoburDTzYylznTCOJBHcnu7eurMw/edit?gid=15948134#gid=15948134"", ""Input!A1:B2000""),2,FALSE()))"),"data (pre-training and fine-tuning sets)")</f>
        <v>data (pre-training and fine-tuning sets)</v>
      </c>
    </row>
    <row r="321" hidden="1">
      <c r="A321" s="1" t="s">
        <v>1057</v>
      </c>
      <c r="B321" s="1">
        <v>17.0</v>
      </c>
      <c r="C321" s="1" t="s">
        <v>1079</v>
      </c>
      <c r="D321" s="1" t="s">
        <v>1080</v>
      </c>
      <c r="E321" s="16" t="s">
        <v>1083</v>
      </c>
      <c r="F321" s="14" t="s">
        <v>1084</v>
      </c>
      <c r="G321" s="1" t="s">
        <v>54</v>
      </c>
      <c r="H321" s="15" t="s">
        <v>488</v>
      </c>
      <c r="J321" s="8" t="str">
        <f>IFERROR(__xludf.DUMMYFUNCTION("IF(ISBLANK(F321),""NA"", VLOOKUP(F321,IMPORTRANGE(""https://docs.google.com/spreadsheets/d/1EdCvim__xyxvoo9WoburDTzYylznTCOJBHcnu7eurMw/edit?gid=15948134#gid=15948134"", ""Purpose!A1:B1000""),2,FALSE()))"),"to train a model for generation tasks (i.e., code completition)")</f>
        <v>to train a model for generation tasks (i.e., code completition)</v>
      </c>
      <c r="K321" s="8" t="str">
        <f>IFERROR(__xludf.DUMMYFUNCTION("IF(ISBLANK(E321),""NA"", VLOOKUP(E321,IMPORTRANGE(""https://docs.google.com/spreadsheets/d/1EdCvim__xyxvoo9WoburDTzYylznTCOJBHcnu7eurMw/edit?gid=15948134#gid=15948134"", ""Technique!A1:B2000""),2,FALSE()))"),"select pretrained models, fine tune for unidirectional language model")</f>
        <v>select pretrained models, fine tune for unidirectional language model</v>
      </c>
      <c r="L321" s="8" t="str">
        <f>IFERROR(__xludf.DUMMYFUNCTION("IF(ISBLANK(D321),""NA"", VLOOKUP(D321,IMPORTRANGE(""https://docs.google.com/spreadsheets/d/1EdCvim__xyxvoo9WoburDTzYylznTCOJBHcnu7eurMw/edit?gid=15948134#gid=15948134"", ""Input!A1:B2000""),2,FALSE()))"),"data (pre-training and fine-tuning sets)")</f>
        <v>data (pre-training and fine-tuning sets)</v>
      </c>
    </row>
    <row r="322" hidden="1">
      <c r="A322" s="1" t="s">
        <v>1057</v>
      </c>
      <c r="B322" s="1">
        <v>18.0</v>
      </c>
      <c r="C322" s="1" t="s">
        <v>1085</v>
      </c>
      <c r="D322" s="1" t="s">
        <v>1086</v>
      </c>
      <c r="E322" s="16" t="s">
        <v>1087</v>
      </c>
      <c r="F322" s="14" t="s">
        <v>1088</v>
      </c>
      <c r="G322" s="1" t="s">
        <v>20</v>
      </c>
      <c r="H322" s="15" t="s">
        <v>488</v>
      </c>
      <c r="J322" s="8" t="str">
        <f>IFERROR(__xludf.DUMMYFUNCTION("IF(ISBLANK(F322),""NA"", VLOOKUP(F322,IMPORTRANGE(""https://docs.google.com/spreadsheets/d/1EdCvim__xyxvoo9WoburDTzYylznTCOJBHcnu7eurMw/edit?gid=15948134#gid=15948134"", ""Purpose!A1:B1000""),2,FALSE()))"),"to remove duplicates in data, code data")</f>
        <v>to remove duplicates in data, code data</v>
      </c>
      <c r="K322" s="8" t="str">
        <f>IFERROR(__xludf.DUMMYFUNCTION("IF(ISBLANK(E322),""NA"", VLOOKUP(E322,IMPORTRANGE(""https://docs.google.com/spreadsheets/d/1EdCvim__xyxvoo9WoburDTzYylznTCOJBHcnu7eurMw/edit?gid=15948134#gid=15948134"", ""Technique!A1:B2000""),2,FALSE()))"),"data deduplication")</f>
        <v>data deduplication</v>
      </c>
      <c r="L322" s="8" t="str">
        <f>IFERROR(__xludf.DUMMYFUNCTION("IF(ISBLANK(D322),""NA"", VLOOKUP(D322,IMPORTRANGE(""https://docs.google.com/spreadsheets/d/1EdCvim__xyxvoo9WoburDTzYylznTCOJBHcnu7eurMw/edit?gid=15948134#gid=15948134"", ""Input!A1:B2000""),2,FALSE()))"),"data")</f>
        <v>data</v>
      </c>
    </row>
    <row r="323" hidden="1">
      <c r="A323" s="1" t="s">
        <v>1057</v>
      </c>
      <c r="B323" s="1" t="s">
        <v>1089</v>
      </c>
      <c r="C323" s="1" t="s">
        <v>1085</v>
      </c>
      <c r="D323" s="1" t="s">
        <v>1090</v>
      </c>
      <c r="E323" s="16" t="s">
        <v>1091</v>
      </c>
      <c r="F323" s="14" t="s">
        <v>1092</v>
      </c>
      <c r="G323" s="1" t="s">
        <v>54</v>
      </c>
      <c r="H323" s="15" t="s">
        <v>488</v>
      </c>
      <c r="J323" s="8" t="str">
        <f>IFERROR(__xludf.DUMMYFUNCTION("IF(ISBLANK(F323),""NA"", VLOOKUP(F323,IMPORTRANGE(""https://docs.google.com/spreadsheets/d/1EdCvim__xyxvoo9WoburDTzYylznTCOJBHcnu7eurMw/edit?gid=15948134#gid=15948134"", ""Purpose!A1:B1000""),2,FALSE()))"),"to split the data into different sets")</f>
        <v>to split the data into different sets</v>
      </c>
      <c r="K323" s="8" t="str">
        <f>IFERROR(__xludf.DUMMYFUNCTION("IF(ISBLANK(E323),""NA"", VLOOKUP(E323,IMPORTRANGE(""https://docs.google.com/spreadsheets/d/1EdCvim__xyxvoo9WoburDTzYylznTCOJBHcnu7eurMw/edit?gid=15948134#gid=15948134"", ""Technique!A1:B2000""),2,FALSE()))"),"split data into pre-training and fine-tuning (train, validation and test sets)")</f>
        <v>split data into pre-training and fine-tuning (train, validation and test sets)</v>
      </c>
      <c r="L323" s="8" t="str">
        <f>IFERROR(__xludf.DUMMYFUNCTION("IF(ISBLANK(D323),""NA"", VLOOKUP(D323,IMPORTRANGE(""https://docs.google.com/spreadsheets/d/1EdCvim__xyxvoo9WoburDTzYylznTCOJBHcnu7eurMw/edit?gid=15948134#gid=15948134"", ""Input!A1:B2000""),2,FALSE()))"),"data")</f>
        <v>data</v>
      </c>
    </row>
    <row r="324" hidden="1">
      <c r="A324" s="1" t="s">
        <v>1057</v>
      </c>
      <c r="B324" s="1">
        <v>20.0</v>
      </c>
      <c r="C324" s="1" t="s">
        <v>1093</v>
      </c>
      <c r="D324" s="1" t="s">
        <v>1090</v>
      </c>
      <c r="E324" s="14" t="s">
        <v>1094</v>
      </c>
      <c r="F324" s="14" t="s">
        <v>1095</v>
      </c>
      <c r="G324" s="1" t="s">
        <v>14</v>
      </c>
      <c r="H324" s="15" t="s">
        <v>488</v>
      </c>
      <c r="J324" s="8" t="str">
        <f>IFERROR(__xludf.DUMMYFUNCTION("IF(ISBLANK(F324),""NA"", VLOOKUP(F324,IMPORTRANGE(""https://docs.google.com/spreadsheets/d/1EdCvim__xyxvoo9WoburDTzYylznTCOJBHcnu7eurMw/edit?gid=15948134#gid=15948134"", ""Purpose!A1:B1000""),2,FALSE()))"),"to tokenize code data")</f>
        <v>to tokenize code data</v>
      </c>
      <c r="K324" s="8" t="str">
        <f>IFERROR(__xludf.DUMMYFUNCTION("IF(ISBLANK(E324),""NA"", VLOOKUP(E324,IMPORTRANGE(""https://docs.google.com/spreadsheets/d/1EdCvim__xyxvoo9WoburDTzYylznTCOJBHcnu7eurMw/edit?gid=15948134#gid=15948134"", ""Technique!A1:B2000""),2,FALSE()))"),"use byte pair encoding")</f>
        <v>use byte pair encoding</v>
      </c>
      <c r="L324" s="8" t="str">
        <f>IFERROR(__xludf.DUMMYFUNCTION("IF(ISBLANK(D324),""NA"", VLOOKUP(D324,IMPORTRANGE(""https://docs.google.com/spreadsheets/d/1EdCvim__xyxvoo9WoburDTzYylznTCOJBHcnu7eurMw/edit?gid=15948134#gid=15948134"", ""Input!A1:B2000""),2,FALSE()))"),"data")</f>
        <v>data</v>
      </c>
    </row>
    <row r="325" hidden="1">
      <c r="A325" s="1" t="s">
        <v>1057</v>
      </c>
      <c r="B325" s="1">
        <v>21.0</v>
      </c>
      <c r="C325" s="1" t="s">
        <v>1093</v>
      </c>
      <c r="D325" s="1" t="s">
        <v>1090</v>
      </c>
      <c r="E325" s="16" t="s">
        <v>1096</v>
      </c>
      <c r="G325" s="1" t="s">
        <v>20</v>
      </c>
      <c r="H325" s="15" t="s">
        <v>488</v>
      </c>
      <c r="J325" s="8" t="str">
        <f>IFERROR(__xludf.DUMMYFUNCTION("IF(ISBLANK(F325),""NA"", VLOOKUP(F325,IMPORTRANGE(""https://docs.google.com/spreadsheets/d/1EdCvim__xyxvoo9WoburDTzYylznTCOJBHcnu7eurMw/edit?gid=15948134#gid=15948134"", ""Purpose!A1:B1000""),2,FALSE()))"),"NA")</f>
        <v>NA</v>
      </c>
      <c r="K325" s="8" t="str">
        <f>IFERROR(__xludf.DUMMYFUNCTION("IF(ISBLANK(E325),""NA"", VLOOKUP(E325,IMPORTRANGE(""https://docs.google.com/spreadsheets/d/1EdCvim__xyxvoo9WoburDTzYylznTCOJBHcnu7eurMw/edit?gid=15948134#gid=15948134"", ""Technique!A1:B2000""),2,FALSE()))"),"ensure user-defined types in code")</f>
        <v>ensure user-defined types in code</v>
      </c>
      <c r="L325" s="8" t="str">
        <f>IFERROR(__xludf.DUMMYFUNCTION("IF(ISBLANK(D325),""NA"", VLOOKUP(D325,IMPORTRANGE(""https://docs.google.com/spreadsheets/d/1EdCvim__xyxvoo9WoburDTzYylznTCOJBHcnu7eurMw/edit?gid=15948134#gid=15948134"", ""Input!A1:B2000""),2,FALSE()))"),"data")</f>
        <v>data</v>
      </c>
    </row>
    <row r="326" hidden="1">
      <c r="A326" s="1" t="s">
        <v>1057</v>
      </c>
      <c r="B326" s="1">
        <v>7.0</v>
      </c>
      <c r="C326" s="1" t="s">
        <v>1097</v>
      </c>
      <c r="D326" s="1" t="s">
        <v>1098</v>
      </c>
      <c r="E326" s="16" t="s">
        <v>1099</v>
      </c>
      <c r="F326" s="14" t="s">
        <v>1100</v>
      </c>
      <c r="G326" s="1" t="s">
        <v>20</v>
      </c>
      <c r="H326" s="15" t="s">
        <v>488</v>
      </c>
      <c r="J326" s="8" t="str">
        <f>IFERROR(__xludf.DUMMYFUNCTION("IF(ISBLANK(F326),""NA"", VLOOKUP(F326,IMPORTRANGE(""https://docs.google.com/spreadsheets/d/1EdCvim__xyxvoo9WoburDTzYylznTCOJBHcnu7eurMw/edit?gid=15948134#gid=15948134"", ""Purpose!A1:B1000""),2,FALSE()))"),"to reduce the size of the vocabulary")</f>
        <v>to reduce the size of the vocabulary</v>
      </c>
      <c r="K326" s="8" t="str">
        <f>IFERROR(__xludf.DUMMYFUNCTION("IF(ISBLANK(E326),""NA"", VLOOKUP(E326,IMPORTRANGE(""https://docs.google.com/spreadsheets/d/1EdCvim__xyxvoo9WoburDTzYylznTCOJBHcnu7eurMw/edit?gid=15948134#gid=15948134"", ""Technique!A1:B2000""),2,FALSE()))"),"reduce vocabulary size, not frequent tokens + UNK token")</f>
        <v>reduce vocabulary size, not frequent tokens + UNK token</v>
      </c>
      <c r="L326" s="8" t="str">
        <f>IFERROR(__xludf.DUMMYFUNCTION("IF(ISBLANK(D326),""NA"", VLOOKUP(D326,IMPORTRANGE(""https://docs.google.com/spreadsheets/d/1EdCvim__xyxvoo9WoburDTzYylznTCOJBHcnu7eurMw/edit?gid=15948134#gid=15948134"", ""Input!A1:B2000""),2,FALSE()))"),"token representation (code data)")</f>
        <v>token representation (code data)</v>
      </c>
    </row>
    <row r="327" hidden="1">
      <c r="A327" s="1" t="s">
        <v>1057</v>
      </c>
      <c r="B327" s="1" t="s">
        <v>1101</v>
      </c>
      <c r="C327" s="1" t="s">
        <v>1097</v>
      </c>
      <c r="E327" s="14" t="s">
        <v>1102</v>
      </c>
      <c r="F327" s="14" t="s">
        <v>1103</v>
      </c>
      <c r="G327" s="1" t="s">
        <v>924</v>
      </c>
      <c r="H327" s="15" t="s">
        <v>488</v>
      </c>
      <c r="J327" s="8" t="str">
        <f>IFERROR(__xludf.DUMMYFUNCTION("IF(ISBLANK(F327),""NA"", VLOOKUP(F327,IMPORTRANGE(""https://docs.google.com/spreadsheets/d/1EdCvim__xyxvoo9WoburDTzYylznTCOJBHcnu7eurMw/edit?gid=15948134#gid=15948134"", ""Purpose!A1:B1000""),2,FALSE()))"),"to be able to replicate/reproduce a study")</f>
        <v>to be able to replicate/reproduce a study</v>
      </c>
      <c r="K327" s="8" t="str">
        <f>IFERROR(__xludf.DUMMYFUNCTION("IF(ISBLANK(E327),""NA"", VLOOKUP(E327,IMPORTRANGE(""https://docs.google.com/spreadsheets/d/1EdCvim__xyxvoo9WoburDTzYylznTCOJBHcnu7eurMw/edit?gid=15948134#gid=15948134"", ""Technique!A1:B2000""),2,FALSE()))"),"report model fine details (e.g., hyperparameters used, cross-entropyloss)")</f>
        <v>report model fine details (e.g., hyperparameters used, cross-entropyloss)</v>
      </c>
      <c r="L327" s="8" t="str">
        <f>IFERROR(__xludf.DUMMYFUNCTION("IF(ISBLANK(D327),""NA"", VLOOKUP(D327,IMPORTRANGE(""https://docs.google.com/spreadsheets/d/1EdCvim__xyxvoo9WoburDTzYylznTCOJBHcnu7eurMw/edit?gid=15948134#gid=15948134"", ""Input!A1:B2000""),2,FALSE()))"),"NA")</f>
        <v>NA</v>
      </c>
    </row>
    <row r="328" hidden="1">
      <c r="A328" s="1" t="s">
        <v>1057</v>
      </c>
      <c r="B328" s="1" t="s">
        <v>1104</v>
      </c>
      <c r="C328" s="1" t="s">
        <v>1097</v>
      </c>
      <c r="D328" s="1" t="s">
        <v>1105</v>
      </c>
      <c r="E328" s="14" t="s">
        <v>1106</v>
      </c>
      <c r="F328" s="14" t="s">
        <v>716</v>
      </c>
      <c r="G328" s="1" t="s">
        <v>39</v>
      </c>
      <c r="H328" s="15" t="s">
        <v>488</v>
      </c>
      <c r="J328" s="8" t="str">
        <f>IFERROR(__xludf.DUMMYFUNCTION("IF(ISBLANK(F328),""NA"", VLOOKUP(F328,IMPORTRANGE(""https://docs.google.com/spreadsheets/d/1EdCvim__xyxvoo9WoburDTzYylznTCOJBHcnu7eurMw/edit?gid=15948134#gid=15948134"", ""Purpose!A1:B1000""),2,FALSE()))"),"to evaluate model(s) functionally (e.g., accuracy)")</f>
        <v>to evaluate model(s) functionally (e.g., accuracy)</v>
      </c>
      <c r="K328" s="8" t="str">
        <f>IFERROR(__xludf.DUMMYFUNCTION("IF(ISBLANK(E328),""NA"", VLOOKUP(E328,IMPORTRANGE(""https://docs.google.com/spreadsheets/d/1EdCvim__xyxvoo9WoburDTzYylznTCOJBHcnu7eurMw/edit?gid=15948134#gid=15948134"", ""Technique!A1:B2000""),2,FALSE()))"),"compute metrics (i.e., accuracy@1)")</f>
        <v>compute metrics (i.e., accuracy@1)</v>
      </c>
      <c r="L328" s="8" t="str">
        <f>IFERROR(__xludf.DUMMYFUNCTION("IF(ISBLANK(D328),""NA"", VLOOKUP(D328,IMPORTRANGE(""https://docs.google.com/spreadsheets/d/1EdCvim__xyxvoo9WoburDTzYylznTCOJBHcnu7eurMw/edit?gid=15948134#gid=15948134"", ""Input!A1:B2000""),2,FALSE()))"),"data (fine-tuning and test sets)")</f>
        <v>data (fine-tuning and test sets)</v>
      </c>
    </row>
    <row r="329" hidden="1">
      <c r="A329" s="1" t="s">
        <v>1057</v>
      </c>
      <c r="B329" s="1">
        <v>24.0</v>
      </c>
      <c r="C329" s="1" t="s">
        <v>1107</v>
      </c>
      <c r="D329" s="1" t="s">
        <v>688</v>
      </c>
      <c r="E329" s="14" t="s">
        <v>1108</v>
      </c>
      <c r="F329" s="14" t="s">
        <v>1109</v>
      </c>
      <c r="G329" s="1" t="s">
        <v>39</v>
      </c>
      <c r="H329" s="15" t="s">
        <v>488</v>
      </c>
      <c r="J329" s="8" t="str">
        <f>IFERROR(__xludf.DUMMYFUNCTION("IF(ISBLANK(F329),""NA"", VLOOKUP(F329,IMPORTRANGE(""https://docs.google.com/spreadsheets/d/1EdCvim__xyxvoo9WoburDTzYylznTCOJBHcnu7eurMw/edit?gid=15948134#gid=15948134"", ""Purpose!A1:B1000""),2,FALSE()))"),"to evaluate model(s) functionally (e.g., accuracy) against others")</f>
        <v>to evaluate model(s) functionally (e.g., accuracy) against others</v>
      </c>
      <c r="K329" s="8" t="str">
        <f>IFERROR(__xludf.DUMMYFUNCTION("IF(ISBLANK(E329),""NA"", VLOOKUP(E329,IMPORTRANGE(""https://docs.google.com/spreadsheets/d/1EdCvim__xyxvoo9WoburDTzYylznTCOJBHcnu7eurMw/edit?gid=15948134#gid=15948134"", ""Technique!A1:B2000""),2,FALSE()))"),"compare with baseline model(s), state-of-the-art baselines deep learning (vanilla STM, Pointer Mixture Network, Byte Pair Encoding based Neural Language Model, Transformer-XL)")</f>
        <v>compare with baseline model(s), state-of-the-art baselines deep learning (vanilla STM, Pointer Mixture Network, Byte Pair Encoding based Neural Language Model, Transformer-XL)</v>
      </c>
      <c r="L329" s="8" t="str">
        <f>IFERROR(__xludf.DUMMYFUNCTION("IF(ISBLANK(D329),""NA"", VLOOKUP(D329,IMPORTRANGE(""https://docs.google.com/spreadsheets/d/1EdCvim__xyxvoo9WoburDTzYylznTCOJBHcnu7eurMw/edit?gid=15948134#gid=15948134"", ""Input!A1:B2000""),2,FALSE()))"),"data (test set)")</f>
        <v>data (test set)</v>
      </c>
    </row>
    <row r="330" hidden="1">
      <c r="A330" s="1" t="s">
        <v>1057</v>
      </c>
      <c r="B330" s="1">
        <v>25.0</v>
      </c>
      <c r="C330" s="1" t="s">
        <v>1110</v>
      </c>
      <c r="D330" s="1" t="s">
        <v>698</v>
      </c>
      <c r="E330" s="1" t="s">
        <v>1111</v>
      </c>
      <c r="F330" s="14" t="s">
        <v>1112</v>
      </c>
      <c r="G330" s="1" t="s">
        <v>39</v>
      </c>
      <c r="H330" s="15" t="s">
        <v>488</v>
      </c>
      <c r="J330" s="8" t="str">
        <f>IFERROR(__xludf.DUMMYFUNCTION("IF(ISBLANK(F330),""NA"", VLOOKUP(F330,IMPORTRANGE(""https://docs.google.com/spreadsheets/d/1EdCvim__xyxvoo9WoburDTzYylznTCOJBHcnu7eurMw/edit?gid=15948134#gid=15948134"", ""Purpose!A1:B1000""),2,FALSE()))"),"to understand how different pre-training tasks affect the model results")</f>
        <v>to understand how different pre-training tasks affect the model results</v>
      </c>
      <c r="K330" s="8" t="str">
        <f>IFERROR(__xludf.DUMMYFUNCTION("IF(ISBLANK(E330),""NA"", VLOOKUP(E330,IMPORTRANGE(""https://docs.google.com/spreadsheets/d/1EdCvim__xyxvoo9WoburDTzYylznTCOJBHcnu7eurMw/edit?gid=15948134#gid=15948134"", ""Technique!A1:B2000""),2,FALSE()))"),"ablation study (removing pre-training tasks)")</f>
        <v>ablation study (removing pre-training tasks)</v>
      </c>
      <c r="L330" s="8" t="str">
        <f>IFERROR(__xludf.DUMMYFUNCTION("IF(ISBLANK(D330),""NA"", VLOOKUP(D330,IMPORTRANGE(""https://docs.google.com/spreadsheets/d/1EdCvim__xyxvoo9WoburDTzYylznTCOJBHcnu7eurMw/edit?gid=15948134#gid=15948134"", ""Input!A1:B2000""),2,FALSE()))"),"data (training set)")</f>
        <v>data (training set)</v>
      </c>
    </row>
    <row r="331" hidden="1">
      <c r="A331" s="1" t="s">
        <v>1113</v>
      </c>
      <c r="B331" s="1" t="s">
        <v>1114</v>
      </c>
      <c r="C331" s="1" t="s">
        <v>1115</v>
      </c>
      <c r="D331" s="1" t="s">
        <v>170</v>
      </c>
      <c r="E331" s="16" t="s">
        <v>1116</v>
      </c>
      <c r="F331" s="14" t="s">
        <v>1117</v>
      </c>
      <c r="G331" s="1" t="s">
        <v>54</v>
      </c>
      <c r="H331" s="15" t="s">
        <v>1118</v>
      </c>
      <c r="J331" s="8" t="str">
        <f>IFERROR(__xludf.DUMMYFUNCTION("IF(ISBLANK(F331),""NA"", VLOOKUP(F331,IMPORTRANGE(""https://docs.google.com/spreadsheets/d/1EdCvim__xyxvoo9WoburDTzYylznTCOJBHcnu7eurMw/edit?gid=15948134#gid=15948134"", ""Purpose!A1:B1000""),2,FALSE()))"),"to handle out-of-the-vocabulary words")</f>
        <v>to handle out-of-the-vocabulary words</v>
      </c>
      <c r="K331" s="8" t="str">
        <f>IFERROR(__xludf.DUMMYFUNCTION("IF(ISBLANK(E331),""NA"", VLOOKUP(E331,IMPORTRANGE(""https://docs.google.com/spreadsheets/d/1EdCvim__xyxvoo9WoburDTzYylznTCOJBHcnu7eurMw/edit?gid=15948134#gid=15948134"", ""Technique!A1:B2000""),2,FALSE()))"),"use a Pointer Generator")</f>
        <v>use a Pointer Generator</v>
      </c>
      <c r="L331" s="8" t="str">
        <f>IFERROR(__xludf.DUMMYFUNCTION("IF(ISBLANK(D331),""NA"", VLOOKUP(D331,IMPORTRANGE(""https://docs.google.com/spreadsheets/d/1EdCvim__xyxvoo9WoburDTzYylznTCOJBHcnu7eurMw/edit?gid=15948134#gid=15948134"", ""Input!A1:B2000""),2,FALSE()))"),"data")</f>
        <v>data</v>
      </c>
    </row>
    <row r="332" hidden="1">
      <c r="A332" s="1" t="s">
        <v>1113</v>
      </c>
      <c r="B332" s="1" t="s">
        <v>1119</v>
      </c>
      <c r="C332" s="1" t="s">
        <v>1120</v>
      </c>
      <c r="D332" s="1" t="s">
        <v>748</v>
      </c>
      <c r="E332" s="14" t="s">
        <v>1121</v>
      </c>
      <c r="F332" s="14" t="s">
        <v>1122</v>
      </c>
      <c r="G332" s="1" t="s">
        <v>39</v>
      </c>
      <c r="H332" s="15" t="s">
        <v>1118</v>
      </c>
      <c r="J332" s="8" t="str">
        <f>IFERROR(__xludf.DUMMYFUNCTION("IF(ISBLANK(F332),""NA"", VLOOKUP(F332,IMPORTRANGE(""https://docs.google.com/spreadsheets/d/1EdCvim__xyxvoo9WoburDTzYylznTCOJBHcnu7eurMw/edit?gid=15948134#gid=15948134"", ""Purpose!A1:B1000""),2,FALSE()))"),"to evaluate model(s) functionally (e.g., accuracy)")</f>
        <v>to evaluate model(s) functionally (e.g., accuracy)</v>
      </c>
      <c r="K332" s="8" t="str">
        <f>IFERROR(__xludf.DUMMYFUNCTION("IF(ISBLANK(E332),""NA"", VLOOKUP(E332,IMPORTRANGE(""https://docs.google.com/spreadsheets/d/1EdCvim__xyxvoo9WoburDTzYylznTCOJBHcnu7eurMw/edit?gid=15948134#gid=15948134"", ""Technique!A1:B2000""),2,FALSE()))"),"compute metrics (i.e., ROUGE)")</f>
        <v>compute metrics (i.e., ROUGE)</v>
      </c>
      <c r="L332" s="8" t="str">
        <f>IFERROR(__xludf.DUMMYFUNCTION("IF(ISBLANK(D332),""NA"", VLOOKUP(D332,IMPORTRANGE(""https://docs.google.com/spreadsheets/d/1EdCvim__xyxvoo9WoburDTzYylznTCOJBHcnu7eurMw/edit?gid=15948134#gid=15948134"", ""Input!A1:B2000""),2,FALSE()))"),"data + model(s)")</f>
        <v>data + model(s)</v>
      </c>
    </row>
    <row r="333" hidden="1">
      <c r="A333" s="1" t="s">
        <v>1113</v>
      </c>
      <c r="B333" s="1" t="s">
        <v>1123</v>
      </c>
      <c r="C333" s="1" t="s">
        <v>1124</v>
      </c>
      <c r="D333" s="1" t="s">
        <v>748</v>
      </c>
      <c r="E333" s="14" t="s">
        <v>1125</v>
      </c>
      <c r="F333" s="1" t="s">
        <v>1126</v>
      </c>
      <c r="G333" s="1" t="s">
        <v>39</v>
      </c>
      <c r="H333" s="15" t="s">
        <v>1118</v>
      </c>
      <c r="J333" s="8" t="str">
        <f>IFERROR(__xludf.DUMMYFUNCTION("IF(ISBLANK(F333),""NA"", VLOOKUP(F333,IMPORTRANGE(""https://docs.google.com/spreadsheets/d/1EdCvim__xyxvoo9WoburDTzYylznTCOJBHcnu7eurMw/edit?gid=15948134#gid=15948134"", ""Purpose!A1:B1000""),2,FALSE()))"),"to evaluate model(s) functionally (e.g., accuracy)")</f>
        <v>to evaluate model(s) functionally (e.g., accuracy)</v>
      </c>
      <c r="K333" s="8" t="str">
        <f>IFERROR(__xludf.DUMMYFUNCTION("IF(ISBLANK(E333),""NA"", VLOOKUP(E333,IMPORTRANGE(""https://docs.google.com/spreadsheets/d/1EdCvim__xyxvoo9WoburDTzYylznTCOJBHcnu7eurMw/edit?gid=15948134#gid=15948134"", ""Technique!A1:B2000""),2,FALSE()))"),"uses self-critical sequence training (RL) +  report model fine details (e.g., custom details)")</f>
        <v>uses self-critical sequence training (RL) +  report model fine details (e.g., custom details)</v>
      </c>
      <c r="L333" s="8" t="str">
        <f>IFERROR(__xludf.DUMMYFUNCTION("IF(ISBLANK(D333),""NA"", VLOOKUP(D333,IMPORTRANGE(""https://docs.google.com/spreadsheets/d/1EdCvim__xyxvoo9WoburDTzYylznTCOJBHcnu7eurMw/edit?gid=15948134#gid=15948134"", ""Input!A1:B2000""),2,FALSE()))"),"data + model(s)")</f>
        <v>data + model(s)</v>
      </c>
    </row>
    <row r="334" hidden="1">
      <c r="A334" s="1" t="s">
        <v>1113</v>
      </c>
      <c r="B334" s="1" t="s">
        <v>1050</v>
      </c>
      <c r="C334" s="1" t="s">
        <v>1127</v>
      </c>
      <c r="D334" s="1" t="s">
        <v>1128</v>
      </c>
      <c r="E334" s="14" t="s">
        <v>1129</v>
      </c>
      <c r="F334" s="14" t="s">
        <v>1130</v>
      </c>
      <c r="G334" s="1" t="s">
        <v>44</v>
      </c>
      <c r="H334" s="15" t="s">
        <v>1118</v>
      </c>
      <c r="J334" s="8" t="str">
        <f>IFERROR(__xludf.DUMMYFUNCTION("IF(ISBLANK(F334),""NA"", VLOOKUP(F334,IMPORTRANGE(""https://docs.google.com/spreadsheets/d/1EdCvim__xyxvoo9WoburDTzYylznTCOJBHcnu7eurMw/edit?gid=15948134#gid=15948134"", ""Purpose!A1:B1000""),2,FALSE()))"),"to collect data, code data and textual data")</f>
        <v>to collect data, code data and textual data</v>
      </c>
      <c r="K334" s="8" t="str">
        <f>IFERROR(__xludf.DUMMYFUNCTION("IF(ISBLANK(E334),""NA"", VLOOKUP(E334,IMPORTRANGE(""https://docs.google.com/spreadsheets/d/1EdCvim__xyxvoo9WoburDTzYylznTCOJBHcnu7eurMw/edit?gid=15948134#gid=15948134"", ""Technique!A1:B2000""),2,FALSE()))"),"use existing frameworks for data collection (i.e., RepoReapers)")</f>
        <v>use existing frameworks for data collection (i.e., RepoReapers)</v>
      </c>
      <c r="L334" s="8" t="str">
        <f>IFERROR(__xludf.DUMMYFUNCTION("IF(ISBLANK(D334),""NA"", VLOOKUP(D334,IMPORTRANGE(""https://docs.google.com/spreadsheets/d/1EdCvim__xyxvoo9WoburDTzYylznTCOJBHcnu7eurMw/edit?gid=15948134#gid=15948134"", ""Input!A1:B2000""),2,FALSE()))"),"data mined from repositories (i.e., GitHub) + model(s)")</f>
        <v>data mined from repositories (i.e., GitHub) + model(s)</v>
      </c>
    </row>
    <row r="335" hidden="1">
      <c r="A335" s="1" t="s">
        <v>1113</v>
      </c>
      <c r="B335" s="1" t="s">
        <v>1131</v>
      </c>
      <c r="C335" s="1" t="s">
        <v>1132</v>
      </c>
      <c r="D335" s="1" t="s">
        <v>1133</v>
      </c>
      <c r="E335" s="16" t="s">
        <v>1134</v>
      </c>
      <c r="F335" s="14" t="s">
        <v>1135</v>
      </c>
      <c r="G335" s="1" t="s">
        <v>20</v>
      </c>
      <c r="H335" s="15" t="s">
        <v>1118</v>
      </c>
      <c r="J335" s="8" t="str">
        <f>IFERROR(__xludf.DUMMYFUNCTION("IF(ISBLANK(F335),""NA"", VLOOKUP(F335,IMPORTRANGE(""https://docs.google.com/spreadsheets/d/1EdCvim__xyxvoo9WoburDTzYylznTCOJBHcnu7eurMw/edit?gid=15948134#gid=15948134"", ""Purpose!A1:B1000""),2,FALSE()))"),"to avoid overoptimistic results due to trivial points")</f>
        <v>to avoid overoptimistic results due to trivial points</v>
      </c>
      <c r="K335" s="8" t="str">
        <f>IFERROR(__xludf.DUMMYFUNCTION("IF(ISBLANK(E335),""NA"", VLOOKUP(E335,IMPORTRANGE(""https://docs.google.com/spreadsheets/d/1EdCvim__xyxvoo9WoburDTzYylznTCOJBHcnu7eurMw/edit?gid=15948134#gid=15948134"", ""Technique!A1:B2000""),2,FALSE()))"),"remove general procedure descriptions (i.e., HTMLs amd checklists)")</f>
        <v>remove general procedure descriptions (i.e., HTMLs amd checklists)</v>
      </c>
      <c r="L335" s="8" t="str">
        <f>IFERROR(__xludf.DUMMYFUNCTION("IF(ISBLANK(D335),""NA"", VLOOKUP(D335,IMPORTRANGE(""https://docs.google.com/spreadsheets/d/1EdCvim__xyxvoo9WoburDTzYylznTCOJBHcnu7eurMw/edit?gid=15948134#gid=15948134"", ""Input!A1:B2000""),2,FALSE()))"),"textual data (Pull requests)")</f>
        <v>textual data (Pull requests)</v>
      </c>
    </row>
    <row r="336" hidden="1">
      <c r="A336" s="1" t="s">
        <v>1113</v>
      </c>
      <c r="B336" s="1" t="s">
        <v>1136</v>
      </c>
      <c r="C336" s="1" t="s">
        <v>1132</v>
      </c>
      <c r="D336" s="1" t="s">
        <v>1133</v>
      </c>
      <c r="E336" s="16" t="s">
        <v>1137</v>
      </c>
      <c r="F336" s="14" t="s">
        <v>1138</v>
      </c>
      <c r="G336" s="1" t="s">
        <v>20</v>
      </c>
      <c r="H336" s="15" t="s">
        <v>1118</v>
      </c>
      <c r="J336" s="8" t="str">
        <f>IFERROR(__xludf.DUMMYFUNCTION("IF(ISBLANK(F336),""NA"", VLOOKUP(F336,IMPORTRANGE(""https://docs.google.com/spreadsheets/d/1EdCvim__xyxvoo9WoburDTzYylznTCOJBHcnu7eurMw/edit?gid=15948134#gid=15948134"", ""Purpose!A1:B1000""),2,FALSE()))"),"to remove external references within data")</f>
        <v>to remove external references within data</v>
      </c>
      <c r="K336" s="8" t="str">
        <f>IFERROR(__xludf.DUMMYFUNCTION("IF(ISBLANK(E336),""NA"", VLOOKUP(E336,IMPORTRANGE(""https://docs.google.com/spreadsheets/d/1EdCvim__xyxvoo9WoburDTzYylznTCOJBHcnu7eurMw/edit?gid=15948134#gid=15948134"", ""Technique!A1:B2000""),2,FALSE()))"),"split textual data (i.e., NLP) into sentences + filter out sentences with special terms (i.e., URL, internal references, signatures, emails, names, and markdown headlines)")</f>
        <v>split textual data (i.e., NLP) into sentences + filter out sentences with special terms (i.e., URL, internal references, signatures, emails, names, and markdown headlines)</v>
      </c>
      <c r="L336" s="8" t="str">
        <f>IFERROR(__xludf.DUMMYFUNCTION("IF(ISBLANK(D336),""NA"", VLOOKUP(D336,IMPORTRANGE(""https://docs.google.com/spreadsheets/d/1EdCvim__xyxvoo9WoburDTzYylznTCOJBHcnu7eurMw/edit?gid=15948134#gid=15948134"", ""Input!A1:B2000""),2,FALSE()))"),"textual data (Pull requests)")</f>
        <v>textual data (Pull requests)</v>
      </c>
    </row>
    <row r="337" hidden="1">
      <c r="A337" s="1" t="s">
        <v>1113</v>
      </c>
      <c r="B337" s="1">
        <v>14.0</v>
      </c>
      <c r="C337" s="1" t="s">
        <v>1132</v>
      </c>
      <c r="D337" s="1" t="s">
        <v>1133</v>
      </c>
      <c r="E337" s="16" t="s">
        <v>1139</v>
      </c>
      <c r="F337" s="1"/>
      <c r="G337" s="1" t="s">
        <v>20</v>
      </c>
      <c r="H337" s="15" t="s">
        <v>1118</v>
      </c>
      <c r="J337" s="8" t="str">
        <f>IFERROR(__xludf.DUMMYFUNCTION("IF(ISBLANK(F337),""NA"", VLOOKUP(F337,IMPORTRANGE(""https://docs.google.com/spreadsheets/d/1EdCvim__xyxvoo9WoburDTzYylznTCOJBHcnu7eurMw/edit?gid=15948134#gid=15948134"", ""Purpose!A1:B1000""),2,FALSE()))"),"NA")</f>
        <v>NA</v>
      </c>
      <c r="K337" s="8" t="str">
        <f>IFERROR(__xludf.DUMMYFUNCTION("IF(ISBLANK(E337),""NA"", VLOOKUP(E337,IMPORTRANGE(""https://docs.google.com/spreadsheets/d/1EdCvim__xyxvoo9WoburDTzYylznTCOJBHcnu7eurMw/edit?gid=15948134#gid=15948134"", ""Technique!A1:B2000""),2,FALSE()))"),"tokenize + remove special symbols (i.e., non-ASCII)")</f>
        <v>tokenize + remove special symbols (i.e., non-ASCII)</v>
      </c>
      <c r="L337" s="8" t="str">
        <f>IFERROR(__xludf.DUMMYFUNCTION("IF(ISBLANK(D337),""NA"", VLOOKUP(D337,IMPORTRANGE(""https://docs.google.com/spreadsheets/d/1EdCvim__xyxvoo9WoburDTzYylznTCOJBHcnu7eurMw/edit?gid=15948134#gid=15948134"", ""Input!A1:B2000""),2,FALSE()))"),"textual data (Pull requests)")</f>
        <v>textual data (Pull requests)</v>
      </c>
    </row>
    <row r="338" hidden="1">
      <c r="A338" s="1" t="s">
        <v>1113</v>
      </c>
      <c r="B338" s="1">
        <v>15.0</v>
      </c>
      <c r="C338" s="1" t="s">
        <v>1140</v>
      </c>
      <c r="D338" s="1" t="s">
        <v>1133</v>
      </c>
      <c r="E338" s="16" t="s">
        <v>1141</v>
      </c>
      <c r="F338" s="1"/>
      <c r="G338" s="1" t="s">
        <v>20</v>
      </c>
      <c r="H338" s="15" t="s">
        <v>1118</v>
      </c>
      <c r="J338" s="8" t="str">
        <f>IFERROR(__xludf.DUMMYFUNCTION("IF(ISBLANK(F338),""NA"", VLOOKUP(F338,IMPORTRANGE(""https://docs.google.com/spreadsheets/d/1EdCvim__xyxvoo9WoburDTzYylznTCOJBHcnu7eurMw/edit?gid=15948134#gid=15948134"", ""Purpose!A1:B1000""),2,FALSE()))"),"NA")</f>
        <v>NA</v>
      </c>
      <c r="K338" s="8" t="str">
        <f>IFERROR(__xludf.DUMMYFUNCTION("IF(ISBLANK(E338),""NA"", VLOOKUP(E338,IMPORTRANGE(""https://docs.google.com/spreadsheets/d/1EdCvim__xyxvoo9WoburDTzYylznTCOJBHcnu7eurMw/edit?gid=15948134#gid=15948134"", ""Technique!A1:B2000""),2,FALSE()))"),"filter out PRs based on content (i.e., empty descriptions) and on based on number of commits (i.e., less than 3 more than 20)")</f>
        <v>filter out PRs based on content (i.e., empty descriptions) and on based on number of commits (i.e., less than 3 more than 20)</v>
      </c>
      <c r="L338" s="8" t="str">
        <f>IFERROR(__xludf.DUMMYFUNCTION("IF(ISBLANK(D338),""NA"", VLOOKUP(D338,IMPORTRANGE(""https://docs.google.com/spreadsheets/d/1EdCvim__xyxvoo9WoburDTzYylznTCOJBHcnu7eurMw/edit?gid=15948134#gid=15948134"", ""Input!A1:B2000""),2,FALSE()))"),"textual data (Pull requests)")</f>
        <v>textual data (Pull requests)</v>
      </c>
    </row>
    <row r="339" hidden="1">
      <c r="A339" s="1" t="s">
        <v>1113</v>
      </c>
      <c r="B339" s="1" t="s">
        <v>1142</v>
      </c>
      <c r="C339" s="1" t="s">
        <v>1143</v>
      </c>
      <c r="D339" s="1" t="s">
        <v>503</v>
      </c>
      <c r="E339" s="16" t="s">
        <v>1144</v>
      </c>
      <c r="F339" s="1"/>
      <c r="G339" s="1" t="s">
        <v>54</v>
      </c>
      <c r="H339" s="15" t="s">
        <v>1118</v>
      </c>
      <c r="J339" s="8" t="str">
        <f>IFERROR(__xludf.DUMMYFUNCTION("IF(ISBLANK(F339),""NA"", VLOOKUP(F339,IMPORTRANGE(""https://docs.google.com/spreadsheets/d/1EdCvim__xyxvoo9WoburDTzYylznTCOJBHcnu7eurMw/edit?gid=15948134#gid=15948134"", ""Purpose!A1:B1000""),2,FALSE()))"),"NA")</f>
        <v>NA</v>
      </c>
      <c r="K339" s="8" t="str">
        <f>IFERROR(__xludf.DUMMYFUNCTION("IF(ISBLANK(E339),""NA"", VLOOKUP(E339,IMPORTRANGE(""https://docs.google.com/spreadsheets/d/1EdCvim__xyxvoo9WoburDTzYylznTCOJBHcnu7eurMw/edit?gid=15948134#gid=15948134"", ""Technique!A1:B2000""),2,FALSE()))"),"report model fine details (e.g., ranking internal functions, loss) (use as loss the maximum-likelihood loss, at the beginning + use as loss a hybrid loss later on + LR optimization (Adam))")</f>
        <v>report model fine details (e.g., ranking internal functions, loss) (use as loss the maximum-likelihood loss, at the beginning + use as loss a hybrid loss later on + LR optimization (Adam))</v>
      </c>
      <c r="L339" s="8" t="str">
        <f>IFERROR(__xludf.DUMMYFUNCTION("IF(ISBLANK(D339),""NA"", VLOOKUP(D339,IMPORTRANGE(""https://docs.google.com/spreadsheets/d/1EdCvim__xyxvoo9WoburDTzYylznTCOJBHcnu7eurMw/edit?gid=15948134#gid=15948134"", ""Input!A1:B2000""),2,FALSE()))"),"model(s)")</f>
        <v>model(s)</v>
      </c>
    </row>
    <row r="340" hidden="1">
      <c r="A340" s="1" t="s">
        <v>1113</v>
      </c>
      <c r="B340" s="1" t="s">
        <v>1145</v>
      </c>
      <c r="C340" s="1" t="s">
        <v>1143</v>
      </c>
      <c r="D340" s="1" t="s">
        <v>748</v>
      </c>
      <c r="E340" s="16" t="s">
        <v>1146</v>
      </c>
      <c r="F340" s="14" t="s">
        <v>901</v>
      </c>
      <c r="G340" s="1" t="s">
        <v>20</v>
      </c>
      <c r="H340" s="15" t="s">
        <v>1118</v>
      </c>
      <c r="J340" s="8" t="str">
        <f>IFERROR(__xludf.DUMMYFUNCTION("IF(ISBLANK(F340),""NA"", VLOOKUP(F340,IMPORTRANGE(""https://docs.google.com/spreadsheets/d/1EdCvim__xyxvoo9WoburDTzYylznTCOJBHcnu7eurMw/edit?gid=15948134#gid=15948134"", ""Purpose!A1:B1000""),2,FALSE()))"),"to split the data into different sets")</f>
        <v>to split the data into different sets</v>
      </c>
      <c r="K340" s="8" t="str">
        <f>IFERROR(__xludf.DUMMYFUNCTION("IF(ISBLANK(E340),""NA"", VLOOKUP(E340,IMPORTRANGE(""https://docs.google.com/spreadsheets/d/1EdCvim__xyxvoo9WoburDTzYylznTCOJBHcnu7eurMw/edit?gid=15948134#gid=15948134"", ""Technique!A1:B2000""),2,FALSE()))"),"split data into train, validation and test")</f>
        <v>split data into train, validation and test</v>
      </c>
      <c r="L340" s="8" t="str">
        <f>IFERROR(__xludf.DUMMYFUNCTION("IF(ISBLANK(D340),""NA"", VLOOKUP(D340,IMPORTRANGE(""https://docs.google.com/spreadsheets/d/1EdCvim__xyxvoo9WoburDTzYylznTCOJBHcnu7eurMw/edit?gid=15948134#gid=15948134"", ""Input!A1:B2000""),2,FALSE()))"),"data + model(s)")</f>
        <v>data + model(s)</v>
      </c>
    </row>
    <row r="341" hidden="1">
      <c r="A341" s="1" t="s">
        <v>1113</v>
      </c>
      <c r="B341" s="1">
        <v>17.0</v>
      </c>
      <c r="C341" s="1" t="s">
        <v>1147</v>
      </c>
      <c r="D341" s="1" t="s">
        <v>748</v>
      </c>
      <c r="E341" s="14" t="s">
        <v>1148</v>
      </c>
      <c r="F341" s="14" t="s">
        <v>1149</v>
      </c>
      <c r="G341" s="1" t="s">
        <v>39</v>
      </c>
      <c r="H341" s="15" t="s">
        <v>1118</v>
      </c>
      <c r="J341" s="8" t="str">
        <f>IFERROR(__xludf.DUMMYFUNCTION("IF(ISBLANK(F341),""NA"", VLOOKUP(F341,IMPORTRANGE(""https://docs.google.com/spreadsheets/d/1EdCvim__xyxvoo9WoburDTzYylznTCOJBHcnu7eurMw/edit?gid=15948134#gid=15948134"", ""Purpose!A1:B1000""),2,FALSE()))"),"to evaluate model(s) functionally (e.g., accuracy) against others")</f>
        <v>to evaluate model(s) functionally (e.g., accuracy) against others</v>
      </c>
      <c r="K341" s="8" t="str">
        <f>IFERROR(__xludf.DUMMYFUNCTION("IF(ISBLANK(E341),""NA"", VLOOKUP(E341,IMPORTRANGE(""https://docs.google.com/spreadsheets/d/1EdCvim__xyxvoo9WoburDTzYylznTCOJBHcnu7eurMw/edit?gid=15948134#gid=15948134"", ""Technique!A1:B2000""),2,FALSE()))"),"compare with baseline model(s), extractive baselines (non-ml)")</f>
        <v>compare with baseline model(s), extractive baselines (non-ml)</v>
      </c>
      <c r="L341" s="8" t="str">
        <f>IFERROR(__xludf.DUMMYFUNCTION("IF(ISBLANK(D341),""NA"", VLOOKUP(D341,IMPORTRANGE(""https://docs.google.com/spreadsheets/d/1EdCvim__xyxvoo9WoburDTzYylznTCOJBHcnu7eurMw/edit?gid=15948134#gid=15948134"", ""Input!A1:B2000""),2,FALSE()))"),"data + model(s)")</f>
        <v>data + model(s)</v>
      </c>
    </row>
    <row r="342" hidden="1">
      <c r="A342" s="1" t="s">
        <v>1113</v>
      </c>
      <c r="B342" s="1" t="s">
        <v>1150</v>
      </c>
      <c r="C342" s="1"/>
      <c r="E342" s="16" t="s">
        <v>1151</v>
      </c>
      <c r="F342" s="14" t="s">
        <v>1152</v>
      </c>
      <c r="G342" s="1" t="s">
        <v>54</v>
      </c>
      <c r="H342" s="15" t="s">
        <v>1118</v>
      </c>
      <c r="J342" s="8" t="str">
        <f>IFERROR(__xludf.DUMMYFUNCTION("IF(ISBLANK(F342),""NA"", VLOOKUP(F342,IMPORTRANGE(""https://docs.google.com/spreadsheets/d/1EdCvim__xyxvoo9WoburDTzYylznTCOJBHcnu7eurMw/edit?gid=15948134#gid=15948134"", ""Purpose!A1:B1000""),2,FALSE()))"),"to train a model for generation tasks (i.e., PR descriptions)")</f>
        <v>to train a model for generation tasks (i.e., PR descriptions)</v>
      </c>
      <c r="K342" s="8" t="str">
        <f>IFERROR(__xludf.DUMMYFUNCTION("IF(ISBLANK(E342),""NA"", VLOOKUP(E342,IMPORTRANGE(""https://docs.google.com/spreadsheets/d/1EdCvim__xyxvoo9WoburDTzYylznTCOJBHcnu7eurMw/edit?gid=15948134#gid=15948134"", ""Technique!A1:B2000""),2,FALSE()))"),"uses self-critical sequence training (RL) +  use encoder-decoder + use a Pointer Generator")</f>
        <v>uses self-critical sequence training (RL) +  use encoder-decoder + use a Pointer Generator</v>
      </c>
      <c r="L342" s="8" t="str">
        <f>IFERROR(__xludf.DUMMYFUNCTION("IF(ISBLANK(D342),""NA"", VLOOKUP(D342,IMPORTRANGE(""https://docs.google.com/spreadsheets/d/1EdCvim__xyxvoo9WoburDTzYylznTCOJBHcnu7eurMw/edit?gid=15948134#gid=15948134"", ""Input!A1:B2000""),2,FALSE()))"),"NA")</f>
        <v>NA</v>
      </c>
    </row>
    <row r="343" hidden="1">
      <c r="A343" s="1" t="s">
        <v>1153</v>
      </c>
      <c r="B343" s="1" t="s">
        <v>515</v>
      </c>
      <c r="C343" s="1" t="s">
        <v>515</v>
      </c>
      <c r="H343" s="10"/>
      <c r="J343" s="8" t="str">
        <f>IFERROR(__xludf.DUMMYFUNCTION("IF(ISBLANK(F343),""NA"", VLOOKUP(F343,IMPORTRANGE(""https://docs.google.com/spreadsheets/d/1EdCvim__xyxvoo9WoburDTzYylznTCOJBHcnu7eurMw/edit?gid=15948134#gid=15948134"", ""Purpose!A1:B1000""),2,FALSE()))"),"NA")</f>
        <v>NA</v>
      </c>
      <c r="K343" s="8" t="str">
        <f>IFERROR(__xludf.DUMMYFUNCTION("IF(ISBLANK(E343),""NA"", VLOOKUP(E343,IMPORTRANGE(""https://docs.google.com/spreadsheets/d/1EdCvim__xyxvoo9WoburDTzYylznTCOJBHcnu7eurMw/edit?gid=15948134#gid=15948134"", ""Technique!A1:B2000""),2,FALSE()))"),"NA")</f>
        <v>NA</v>
      </c>
      <c r="L343" s="8" t="str">
        <f>IFERROR(__xludf.DUMMYFUNCTION("IF(ISBLANK(D343),""NA"", VLOOKUP(D343,IMPORTRANGE(""https://docs.google.com/spreadsheets/d/1EdCvim__xyxvoo9WoburDTzYylznTCOJBHcnu7eurMw/edit?gid=15948134#gid=15948134"", ""Input!A1:B2000""),2,FALSE()))"),"NA")</f>
        <v>NA</v>
      </c>
    </row>
    <row r="344" hidden="1">
      <c r="A344" s="1" t="s">
        <v>1154</v>
      </c>
      <c r="B344" s="1" t="s">
        <v>1155</v>
      </c>
      <c r="C344" s="1" t="s">
        <v>1156</v>
      </c>
      <c r="D344" s="1" t="s">
        <v>1157</v>
      </c>
      <c r="E344" s="14" t="s">
        <v>1158</v>
      </c>
      <c r="F344" s="14" t="s">
        <v>1159</v>
      </c>
      <c r="G344" s="1" t="s">
        <v>14</v>
      </c>
      <c r="H344" s="15" t="s">
        <v>1160</v>
      </c>
      <c r="J344" s="8" t="str">
        <f>IFERROR(__xludf.DUMMYFUNCTION("IF(ISBLANK(F344),""NA"", VLOOKUP(F344,IMPORTRANGE(""https://docs.google.com/spreadsheets/d/1EdCvim__xyxvoo9WoburDTzYylznTCOJBHcnu7eurMw/edit?gid=15948134#gid=15948134"", ""Purpose!A1:B1000""),2,FALSE()))"),"to reduce dimensionality, removing non relevant ones")</f>
        <v>to reduce dimensionality, removing non relevant ones</v>
      </c>
      <c r="K344" s="8" t="str">
        <f>IFERROR(__xludf.DUMMYFUNCTION("IF(ISBLANK(E344),""NA"", VLOOKUP(E344,IMPORTRANGE(""https://docs.google.com/spreadsheets/d/1EdCvim__xyxvoo9WoburDTzYylznTCOJBHcnu7eurMw/edit?gid=15948134#gid=15948134"", ""Technique!A1:B2000""),2,FALSE()))"),"feature selection with information gain")</f>
        <v>feature selection with information gain</v>
      </c>
      <c r="L344" s="8" t="str">
        <f>IFERROR(__xludf.DUMMYFUNCTION("IF(ISBLANK(D344),""NA"", VLOOKUP(D344,IMPORTRANGE(""https://docs.google.com/spreadsheets/d/1EdCvim__xyxvoo9WoburDTzYylznTCOJBHcnu7eurMw/edit?gid=15948134#gid=15948134"", ""Input!A1:B2000""),2,FALSE()))"),"model(s)' features (extracted from parse trees)")</f>
        <v>model(s)' features (extracted from parse trees)</v>
      </c>
    </row>
    <row r="345" hidden="1">
      <c r="A345" s="1" t="s">
        <v>1154</v>
      </c>
      <c r="B345" s="1" t="s">
        <v>1161</v>
      </c>
      <c r="C345" s="1" t="s">
        <v>1156</v>
      </c>
      <c r="D345" s="1" t="s">
        <v>1162</v>
      </c>
      <c r="E345" s="16" t="s">
        <v>1163</v>
      </c>
      <c r="F345" s="14" t="s">
        <v>1164</v>
      </c>
      <c r="G345" s="1" t="s">
        <v>20</v>
      </c>
      <c r="H345" s="15" t="s">
        <v>1160</v>
      </c>
      <c r="J345" s="8" t="str">
        <f>IFERROR(__xludf.DUMMYFUNCTION("IF(ISBLANK(F345),""NA"", VLOOKUP(F345,IMPORTRANGE(""https://docs.google.com/spreadsheets/d/1EdCvim__xyxvoo9WoburDTzYylznTCOJBHcnu7eurMw/edit?gid=15948134#gid=15948134"", ""Purpose!A1:B1000""),2,FALSE()))"),"to balance the data")</f>
        <v>to balance the data</v>
      </c>
      <c r="K345" s="8" t="str">
        <f>IFERROR(__xludf.DUMMYFUNCTION("IF(ISBLANK(E345),""NA"", VLOOKUP(E345,IMPORTRANGE(""https://docs.google.com/spreadsheets/d/1EdCvim__xyxvoo9WoburDTzYylznTCOJBHcnu7eurMw/edit?gid=15948134#gid=15948134"", ""Technique!A1:B2000""),2,FALSE()))"),"balance data across classes, keep all from smaller class and in larger class keep only the most similar ones to the smaller one")</f>
        <v>balance data across classes, keep all from smaller class and in larger class keep only the most similar ones to the smaller one</v>
      </c>
      <c r="L345" s="8" t="str">
        <f>IFERROR(__xludf.DUMMYFUNCTION("IF(ISBLANK(D345),""NA"", VLOOKUP(D345,IMPORTRANGE(""https://docs.google.com/spreadsheets/d/1EdCvim__xyxvoo9WoburDTzYylznTCOJBHcnu7eurMw/edit?gid=15948134#gid=15948134"", ""Input!A1:B2000""),2,FALSE()))"),"textual data (clone anomaly reports)")</f>
        <v>textual data (clone anomaly reports)</v>
      </c>
    </row>
    <row r="346" hidden="1">
      <c r="A346" s="1" t="s">
        <v>1154</v>
      </c>
      <c r="B346" s="1" t="s">
        <v>1165</v>
      </c>
      <c r="C346" s="1" t="s">
        <v>1166</v>
      </c>
      <c r="D346" s="1" t="s">
        <v>1162</v>
      </c>
      <c r="E346" s="16" t="s">
        <v>1167</v>
      </c>
      <c r="F346" s="14" t="s">
        <v>1168</v>
      </c>
      <c r="G346" s="1" t="s">
        <v>54</v>
      </c>
      <c r="H346" s="15" t="s">
        <v>1160</v>
      </c>
      <c r="J346" s="8" t="str">
        <f>IFERROR(__xludf.DUMMYFUNCTION("IF(ISBLANK(F346),""NA"", VLOOKUP(F346,IMPORTRANGE(""https://docs.google.com/spreadsheets/d/1EdCvim__xyxvoo9WoburDTzYylznTCOJBHcnu7eurMw/edit?gid=15948134#gid=15948134"", ""Purpose!A1:B1000""),2,FALSE()))"),"to train a discriminative model for classification tasks (i.e., anomaly detection)")</f>
        <v>to train a discriminative model for classification tasks (i.e., anomaly detection)</v>
      </c>
      <c r="K346" s="8" t="str">
        <f>IFERROR(__xludf.DUMMYFUNCTION("IF(ISBLANK(E346),""NA"", VLOOKUP(E346,IMPORTRANGE(""https://docs.google.com/spreadsheets/d/1EdCvim__xyxvoo9WoburDTzYylznTCOJBHcnu7eurMw/edit?gid=15948134#gid=15948134"", ""Technique!A1:B2000""),2,FALSE()))"),"use nearest neighbor with non-nested generalization (classification)")</f>
        <v>use nearest neighbor with non-nested generalization (classification)</v>
      </c>
      <c r="L346" s="8" t="str">
        <f>IFERROR(__xludf.DUMMYFUNCTION("IF(ISBLANK(D346),""NA"", VLOOKUP(D346,IMPORTRANGE(""https://docs.google.com/spreadsheets/d/1EdCvim__xyxvoo9WoburDTzYylznTCOJBHcnu7eurMw/edit?gid=15948134#gid=15948134"", ""Input!A1:B2000""),2,FALSE()))"),"textual data (clone anomaly reports)")</f>
        <v>textual data (clone anomaly reports)</v>
      </c>
    </row>
    <row r="347" hidden="1">
      <c r="A347" s="1" t="s">
        <v>1154</v>
      </c>
      <c r="B347" s="1" t="s">
        <v>1131</v>
      </c>
      <c r="C347" s="1" t="s">
        <v>1169</v>
      </c>
      <c r="D347" s="1" t="s">
        <v>1170</v>
      </c>
      <c r="E347" s="14" t="s">
        <v>1171</v>
      </c>
      <c r="F347" s="14" t="s">
        <v>1172</v>
      </c>
      <c r="G347" s="1" t="s">
        <v>39</v>
      </c>
      <c r="H347" s="15" t="s">
        <v>1160</v>
      </c>
      <c r="J347" s="8" t="str">
        <f>IFERROR(__xludf.DUMMYFUNCTION("IF(ISBLANK(F347),""NA"", VLOOKUP(F347,IMPORTRANGE(""https://docs.google.com/spreadsheets/d/1EdCvim__xyxvoo9WoburDTzYylznTCOJBHcnu7eurMw/edit?gid=15948134#gid=15948134"", ""Purpose!A1:B1000""),2,FALSE()))"),"to evaluate model(s) functionally (e.g., accuracy), when refining the model")</f>
        <v>to evaluate model(s) functionally (e.g., accuracy), when refining the model</v>
      </c>
      <c r="K347" s="8" t="str">
        <f>IFERROR(__xludf.DUMMYFUNCTION("IF(ISBLANK(E347),""NA"", VLOOKUP(E347,IMPORTRANGE(""https://docs.google.com/spreadsheets/d/1EdCvim__xyxvoo9WoburDTzYylznTCOJBHcnu7eurMw/edit?gid=15948134#gid=15948134"", ""Technique!A1:B2000""),2,FALSE()))"),"compute metrics (i.e., average percentage faults detected )")</f>
        <v>compute metrics (i.e., average percentage faults detected )</v>
      </c>
      <c r="L347" s="8" t="str">
        <f>IFERROR(__xludf.DUMMYFUNCTION("IF(ISBLANK(D347),""NA"", VLOOKUP(D347,IMPORTRANGE(""https://docs.google.com/spreadsheets/d/1EdCvim__xyxvoo9WoburDTzYylznTCOJBHcnu7eurMw/edit?gid=15948134#gid=15948134"", ""Input!A1:B2000""),2,FALSE()))"),"textual data (bug reports) + classification model(s)")</f>
        <v>textual data (bug reports) + classification model(s)</v>
      </c>
    </row>
    <row r="348" hidden="1">
      <c r="A348" s="1" t="s">
        <v>1154</v>
      </c>
      <c r="B348" s="1">
        <v>7.0</v>
      </c>
      <c r="C348" s="1" t="s">
        <v>1173</v>
      </c>
      <c r="D348" s="1" t="s">
        <v>1174</v>
      </c>
      <c r="E348" s="14" t="s">
        <v>1175</v>
      </c>
      <c r="F348" s="14" t="s">
        <v>1176</v>
      </c>
      <c r="G348" s="1" t="s">
        <v>14</v>
      </c>
      <c r="H348" s="15" t="s">
        <v>1160</v>
      </c>
      <c r="J348" s="8" t="str">
        <f>IFERROR(__xludf.DUMMYFUNCTION("IF(ISBLANK(F348),""NA"", VLOOKUP(F348,IMPORTRANGE(""https://docs.google.com/spreadsheets/d/1EdCvim__xyxvoo9WoburDTzYylznTCOJBHcnu7eurMw/edit?gid=15948134#gid=15948134"", ""Purpose!A1:B1000""),2,FALSE()))"),"to extract features that can be adapted to different programing languages")</f>
        <v>to extract features that can be adapted to different programing languages</v>
      </c>
      <c r="K348" s="8" t="str">
        <f>IFERROR(__xludf.DUMMYFUNCTION("IF(ISBLANK(E348),""NA"", VLOOKUP(E348,IMPORTRANGE(""https://docs.google.com/spreadsheets/d/1EdCvim__xyxvoo9WoburDTzYylznTCOJBHcnu7eurMw/edit?gid=15948134#gid=15948134"", ""Technique!A1:B2000""),2,FALSE()))"),"extract features from a clone parse tree")</f>
        <v>extract features from a clone parse tree</v>
      </c>
      <c r="L348" s="8" t="str">
        <f>IFERROR(__xludf.DUMMYFUNCTION("IF(ISBLANK(D348),""NA"", VLOOKUP(D348,IMPORTRANGE(""https://docs.google.com/spreadsheets/d/1EdCvim__xyxvoo9WoburDTzYylznTCOJBHcnu7eurMw/edit?gid=15948134#gid=15948134"", ""Input!A1:B2000""),2,FALSE()))"),"code data")</f>
        <v>code data</v>
      </c>
    </row>
    <row r="349" hidden="1">
      <c r="A349" s="1" t="s">
        <v>1154</v>
      </c>
      <c r="B349" s="1">
        <v>11.0</v>
      </c>
      <c r="C349" s="1" t="s">
        <v>1177</v>
      </c>
      <c r="D349" s="1" t="s">
        <v>1178</v>
      </c>
      <c r="E349" s="16" t="s">
        <v>1179</v>
      </c>
      <c r="F349" s="14" t="s">
        <v>1180</v>
      </c>
      <c r="G349" s="1" t="s">
        <v>54</v>
      </c>
      <c r="H349" s="15" t="s">
        <v>1160</v>
      </c>
      <c r="J349" s="8" t="str">
        <f>IFERROR(__xludf.DUMMYFUNCTION("IF(ISBLANK(F349),""NA"", VLOOKUP(F349,IMPORTRANGE(""https://docs.google.com/spreadsheets/d/1EdCvim__xyxvoo9WoburDTzYylznTCOJBHcnu7eurMw/edit?gid=15948134#gid=15948134"", ""Purpose!A1:B1000""),2,FALSE()))"),"to improve incrementally the accuracy of discriminative models in ranking and classification tasks")</f>
        <v>to improve incrementally the accuracy of discriminative models in ranking and classification tasks</v>
      </c>
      <c r="K349" s="8" t="str">
        <f>IFERROR(__xludf.DUMMYFUNCTION("IF(ISBLANK(E349),""NA"", VLOOKUP(E349,IMPORTRANGE(""https://docs.google.com/spreadsheets/d/1EdCvim__xyxvoo9WoburDTzYylznTCOJBHcnu7eurMw/edit?gid=15948134#gid=15948134"", ""Technique!A1:B2000""),2,FALSE()))"),"active learning")</f>
        <v>active learning</v>
      </c>
      <c r="L349" s="8" t="str">
        <f>IFERROR(__xludf.DUMMYFUNCTION("IF(ISBLANK(D349),""NA"", VLOOKUP(D349,IMPORTRANGE(""https://docs.google.com/spreadsheets/d/1EdCvim__xyxvoo9WoburDTzYylznTCOJBHcnu7eurMw/edit?gid=15948134#gid=15948134"", ""Input!A1:B2000""),2,FALSE()))"),"textual data (bug reports) + classification model(s)")</f>
        <v>textual data (bug reports) + classification model(s)</v>
      </c>
    </row>
    <row r="350" hidden="1">
      <c r="A350" s="1" t="s">
        <v>1181</v>
      </c>
      <c r="B350" s="1" t="s">
        <v>1182</v>
      </c>
      <c r="C350" s="1" t="s">
        <v>1183</v>
      </c>
      <c r="D350" s="1" t="s">
        <v>205</v>
      </c>
      <c r="E350" s="14" t="s">
        <v>1184</v>
      </c>
      <c r="F350" s="14" t="s">
        <v>1185</v>
      </c>
      <c r="G350" s="1" t="s">
        <v>14</v>
      </c>
      <c r="H350" s="15" t="s">
        <v>1186</v>
      </c>
      <c r="J350" s="8" t="str">
        <f>IFERROR(__xludf.DUMMYFUNCTION("IF(ISBLANK(F350),""NA"", VLOOKUP(F350,IMPORTRANGE(""https://docs.google.com/spreadsheets/d/1EdCvim__xyxvoo9WoburDTzYylznTCOJBHcnu7eurMw/edit?gid=15948134#gid=15948134"", ""Purpose!A1:B1000""),2,FALSE()))"),"to encode energy usage related activities")</f>
        <v>to encode energy usage related activities</v>
      </c>
      <c r="K350" s="8" t="str">
        <f>IFERROR(__xludf.DUMMYFUNCTION("IF(ISBLANK(E350),""NA"", VLOOKUP(E350,IMPORTRANGE(""https://docs.google.com/spreadsheets/d/1EdCvim__xyxvoo9WoburDTzYylznTCOJBHcnu7eurMw/edit?gid=15948134#gid=15948134"", ""Technique!A1:B2000""),2,FALSE()))"),"encode energy defects as a bit vector")</f>
        <v>encode energy defects as a bit vector</v>
      </c>
      <c r="L350" s="8" t="str">
        <f>IFERROR(__xludf.DUMMYFUNCTION("IF(ISBLANK(D350),""NA"", VLOOKUP(D350,IMPORTRANGE(""https://docs.google.com/spreadsheets/d/1EdCvim__xyxvoo9WoburDTzYylznTCOJBHcnu7eurMw/edit?gid=15948134#gid=15948134"", ""Input!A1:B2000""),2,FALSE()))"),"data")</f>
        <v>data</v>
      </c>
    </row>
    <row r="351" hidden="1">
      <c r="A351" s="1" t="s">
        <v>1181</v>
      </c>
      <c r="B351" s="1">
        <v>2.0</v>
      </c>
      <c r="C351" s="1" t="s">
        <v>1187</v>
      </c>
      <c r="D351" s="1" t="s">
        <v>1188</v>
      </c>
      <c r="E351" s="14" t="s">
        <v>1189</v>
      </c>
      <c r="F351" s="14" t="s">
        <v>1190</v>
      </c>
      <c r="G351" s="1" t="s">
        <v>14</v>
      </c>
      <c r="H351" s="15" t="s">
        <v>1186</v>
      </c>
      <c r="J351" s="8" t="str">
        <f>IFERROR(__xludf.DUMMYFUNCTION("IF(ISBLANK(F351),""NA"", VLOOKUP(F351,IMPORTRANGE(""https://docs.google.com/spreadsheets/d/1EdCvim__xyxvoo9WoburDTzYylznTCOJBHcnu7eurMw/edit?gid=15948134#gid=15948134"", ""Purpose!A1:B1000""),2,FALSE()))"),"to embed test results as sequences")</f>
        <v>to embed test results as sequences</v>
      </c>
      <c r="K351" s="8" t="str">
        <f>IFERROR(__xludf.DUMMYFUNCTION("IF(ISBLANK(E351),""NA"", VLOOKUP(E351,IMPORTRANGE(""https://docs.google.com/spreadsheets/d/1EdCvim__xyxvoo9WoburDTzYylznTCOJBHcnu7eurMw/edit?gid=15948134#gid=15948134"", ""Technique!A1:B2000""),2,FALSE()))"),"sample data with a fixed sampling rate")</f>
        <v>sample data with a fixed sampling rate</v>
      </c>
      <c r="L351" s="8" t="str">
        <f>IFERROR(__xludf.DUMMYFUNCTION("IF(ISBLANK(D351),""NA"", VLOOKUP(D351,IMPORTRANGE(""https://docs.google.com/spreadsheets/d/1EdCvim__xyxvoo9WoburDTzYylznTCOJBHcnu7eurMw/edit?gid=15948134#gid=15948134"", ""Input!A1:B2000""),2,FALSE()))"),"bit vector representation (energy state vector)")</f>
        <v>bit vector representation (energy state vector)</v>
      </c>
    </row>
    <row r="352" hidden="1">
      <c r="A352" s="1" t="s">
        <v>1181</v>
      </c>
      <c r="B352" s="1" t="s">
        <v>1191</v>
      </c>
      <c r="C352" s="1" t="s">
        <v>1192</v>
      </c>
      <c r="D352" s="1" t="s">
        <v>1193</v>
      </c>
      <c r="E352" s="16" t="s">
        <v>1194</v>
      </c>
      <c r="F352" s="14" t="s">
        <v>1195</v>
      </c>
      <c r="G352" s="1" t="s">
        <v>54</v>
      </c>
      <c r="H352" s="15" t="s">
        <v>1186</v>
      </c>
      <c r="J352" s="8" t="str">
        <f>IFERROR(__xludf.DUMMYFUNCTION("IF(ISBLANK(F352),""NA"", VLOOKUP(F352,IMPORTRANGE(""https://docs.google.com/spreadsheets/d/1EdCvim__xyxvoo9WoburDTzYylznTCOJBHcnu7eurMw/edit?gid=15948134#gid=15948134"", ""Purpose!A1:B1000""),2,FALSE()))"),"to train a model for detection tasks (i.e., energy anomalies)")</f>
        <v>to train a model for detection tasks (i.e., energy anomalies)</v>
      </c>
      <c r="K352" s="8" t="str">
        <f>IFERROR(__xludf.DUMMYFUNCTION("IF(ISBLANK(E352),""NA"", VLOOKUP(E352,IMPORTRANGE(""https://docs.google.com/spreadsheets/d/1EdCvim__xyxvoo9WoburDTzYylznTCOJBHcnu7eurMw/edit?gid=15948134#gid=15948134"", ""Technique!A1:B2000""),2,FALSE()))"),"use LSTM (classifier)")</f>
        <v>use LSTM (classifier)</v>
      </c>
      <c r="L352" s="8" t="str">
        <f>IFERROR(__xludf.DUMMYFUNCTION("IF(ISBLANK(D352),""NA"", VLOOKUP(D352,IMPORTRANGE(""https://docs.google.com/spreadsheets/d/1EdCvim__xyxvoo9WoburDTzYylznTCOJBHcnu7eurMw/edit?gid=15948134#gid=15948134"", ""Input!A1:B2000""),2,FALSE()))"),"bit vector representation (energy state vector)")</f>
        <v>bit vector representation (energy state vector)</v>
      </c>
    </row>
    <row r="353" hidden="1">
      <c r="A353" s="1" t="s">
        <v>1181</v>
      </c>
      <c r="B353" s="1" t="s">
        <v>1196</v>
      </c>
      <c r="C353" s="1" t="s">
        <v>1197</v>
      </c>
      <c r="D353" s="14" t="s">
        <v>1198</v>
      </c>
      <c r="E353" s="14" t="s">
        <v>1199</v>
      </c>
      <c r="F353" s="14" t="s">
        <v>1200</v>
      </c>
      <c r="G353" s="1" t="s">
        <v>44</v>
      </c>
      <c r="H353" s="15" t="s">
        <v>1186</v>
      </c>
      <c r="J353" s="8" t="str">
        <f>IFERROR(__xludf.DUMMYFUNCTION("IF(ISBLANK(F353),""NA"", VLOOKUP(F353,IMPORTRANGE(""https://docs.google.com/spreadsheets/d/1EdCvim__xyxvoo9WoburDTzYylznTCOJBHcnu7eurMw/edit?gid=15948134#gid=15948134"", ""Purpose!A1:B1000""),2,FALSE()))"),"to collect data, code data (&lt;test, mutants&gt;) that is energy aware")</f>
        <v>to collect data, code data (&lt;test, mutants&gt;) that is energy aware</v>
      </c>
      <c r="K353" s="8" t="str">
        <f>IFERROR(__xludf.DUMMYFUNCTION("IF(ISBLANK(E353),""NA"", VLOOKUP(E353,IMPORTRANGE(""https://docs.google.com/spreadsheets/d/1EdCvim__xyxvoo9WoburDTzYylznTCOJBHcnu7eurMw/edit?gid=15948134#gid=15948134"", ""Technique!A1:B2000""),2,FALSE()))"),"use 𝜇Droid")</f>
        <v>use 𝜇Droid</v>
      </c>
      <c r="L353" s="8" t="str">
        <f>IFERROR(__xludf.DUMMYFUNCTION("IF(ISBLANK(D353),""NA"", VLOOKUP(D353,IMPORTRANGE(""https://docs.google.com/spreadsheets/d/1EdCvim__xyxvoo9WoburDTzYylznTCOJBHcnu7eurMw/edit?gid=15948134#gid=15948134"", ""Input!A1:B2000""),2,FALSE()))"),"information required to sample/collect data, test for getting enery state vector")</f>
        <v>information required to sample/collect data, test for getting enery state vector</v>
      </c>
    </row>
    <row r="354" hidden="1">
      <c r="A354" s="1" t="s">
        <v>1181</v>
      </c>
      <c r="B354" s="1">
        <v>5.0</v>
      </c>
      <c r="C354" s="1" t="s">
        <v>1201</v>
      </c>
      <c r="D354" s="1" t="s">
        <v>1202</v>
      </c>
      <c r="E354" s="16" t="s">
        <v>1203</v>
      </c>
      <c r="F354" s="14" t="s">
        <v>1204</v>
      </c>
      <c r="G354" s="1" t="s">
        <v>54</v>
      </c>
      <c r="H354" s="15" t="s">
        <v>1186</v>
      </c>
      <c r="J354" s="8" t="str">
        <f>IFERROR(__xludf.DUMMYFUNCTION("IF(ISBLANK(F354),""NA"", VLOOKUP(F354,IMPORTRANGE(""https://docs.google.com/spreadsheets/d/1EdCvim__xyxvoo9WoburDTzYylznTCOJBHcnu7eurMw/edit?gid=15948134#gid=15948134"", ""Purpose!A1:B1000""),2,FALSE()))"),"to handle the performance degradation due to long sequences")</f>
        <v>to handle the performance degradation due to long sequences</v>
      </c>
      <c r="K354" s="8" t="str">
        <f>IFERROR(__xludf.DUMMYFUNCTION("IF(ISBLANK(E354),""NA"", VLOOKUP(E354,IMPORTRANGE(""https://docs.google.com/spreadsheets/d/1EdCvim__xyxvoo9WoburDTzYylznTCOJBHcnu7eurMw/edit?gid=15948134#gid=15948134"", ""Technique!A1:B2000""),2,FALSE()))"),"report model fine details (e.g., use attention mechanisms)")</f>
        <v>report model fine details (e.g., use attention mechanisms)</v>
      </c>
      <c r="L354" s="8" t="str">
        <f>IFERROR(__xludf.DUMMYFUNCTION("IF(ISBLANK(D354),""NA"", VLOOKUP(D354,IMPORTRANGE(""https://docs.google.com/spreadsheets/d/1EdCvim__xyxvoo9WoburDTzYylznTCOJBHcnu7eurMw/edit?gid=15948134#gid=15948134"", ""Input!A1:B2000""),2,FALSE()))"),"bit vector representation (energy state vector)")</f>
        <v>bit vector representation (energy state vector)</v>
      </c>
    </row>
    <row r="355" hidden="1">
      <c r="A355" s="1" t="s">
        <v>1181</v>
      </c>
      <c r="B355" s="1">
        <v>17.0</v>
      </c>
      <c r="C355" s="1" t="s">
        <v>1201</v>
      </c>
      <c r="D355" s="1" t="s">
        <v>1205</v>
      </c>
      <c r="E355" s="14" t="s">
        <v>1206</v>
      </c>
      <c r="F355" s="14" t="s">
        <v>1207</v>
      </c>
      <c r="G355" s="1" t="s">
        <v>39</v>
      </c>
      <c r="H355" s="15" t="s">
        <v>1186</v>
      </c>
      <c r="J355" s="8" t="str">
        <f>IFERROR(__xludf.DUMMYFUNCTION("IF(ISBLANK(F355),""NA"", VLOOKUP(F355,IMPORTRANGE(""https://docs.google.com/spreadsheets/d/1EdCvim__xyxvoo9WoburDTzYylznTCOJBHcnu7eurMw/edit?gid=15948134#gid=15948134"", ""Purpose!A1:B1000""),2,FALSE()))"),"to interpret the model")</f>
        <v>to interpret the model</v>
      </c>
      <c r="K355" s="8" t="str">
        <f>IFERROR(__xludf.DUMMYFUNCTION("IF(ISBLANK(E355),""NA"", VLOOKUP(E355,IMPORTRANGE(""https://docs.google.com/spreadsheets/d/1EdCvim__xyxvoo9WoburDTzYylznTCOJBHcnu7eurMw/edit?gid=15948134#gid=15948134"", ""Technique!A1:B2000""),2,FALSE()))"),"analyze the attentions")</f>
        <v>analyze the attentions</v>
      </c>
      <c r="L355" s="8" t="str">
        <f>IFERROR(__xludf.DUMMYFUNCTION("IF(ISBLANK(D355),""NA"", VLOOKUP(D355,IMPORTRANGE(""https://docs.google.com/spreadsheets/d/1EdCvim__xyxvoo9WoburDTzYylznTCOJBHcnu7eurMw/edit?gid=15948134#gid=15948134"", ""Input!A1:B2000""),2,FALSE()))"),"data (test set) + model(s)")</f>
        <v>data (test set) + model(s)</v>
      </c>
    </row>
    <row r="356" hidden="1">
      <c r="A356" s="1" t="s">
        <v>1181</v>
      </c>
      <c r="B356" s="1" t="s">
        <v>1208</v>
      </c>
      <c r="C356" s="1" t="s">
        <v>1209</v>
      </c>
      <c r="D356" s="1" t="s">
        <v>1210</v>
      </c>
      <c r="E356" s="14" t="s">
        <v>1211</v>
      </c>
      <c r="F356" s="14" t="s">
        <v>1212</v>
      </c>
      <c r="G356" s="1" t="s">
        <v>39</v>
      </c>
      <c r="H356" s="15" t="s">
        <v>1186</v>
      </c>
      <c r="J356" s="8" t="str">
        <f>IFERROR(__xludf.DUMMYFUNCTION("IF(ISBLANK(F356),""NA"", VLOOKUP(F356,IMPORTRANGE(""https://docs.google.com/spreadsheets/d/1EdCvim__xyxvoo9WoburDTzYylznTCOJBHcnu7eurMw/edit?gid=15948134#gid=15948134"", ""Purpose!A1:B1000""),2,FALSE()))"),"to avoid data leakage")</f>
        <v>to avoid data leakage</v>
      </c>
      <c r="K356" s="8" t="str">
        <f>IFERROR(__xludf.DUMMYFUNCTION("IF(ISBLANK(E356),""NA"", VLOOKUP(E356,IMPORTRANGE(""https://docs.google.com/spreadsheets/d/1EdCvim__xyxvoo9WoburDTzYylznTCOJBHcnu7eurMw/edit?gid=15948134#gid=15948134"", ""Technique!A1:B2000""),2,FALSE()))"),"analyze the attentions, most relevant features")</f>
        <v>analyze the attentions, most relevant features</v>
      </c>
      <c r="L356" s="8" t="str">
        <f>IFERROR(__xludf.DUMMYFUNCTION("IF(ISBLANK(D356),""NA"", VLOOKUP(D356,IMPORTRANGE(""https://docs.google.com/spreadsheets/d/1EdCvim__xyxvoo9WoburDTzYylznTCOJBHcnu7eurMw/edit?gid=15948134#gid=15948134"", ""Input!A1:B2000""),2,FALSE()))"),"bit vector representation (energy state vector) + LSTM model(s)")</f>
        <v>bit vector representation (energy state vector) + LSTM model(s)</v>
      </c>
    </row>
    <row r="357" hidden="1">
      <c r="A357" s="1" t="s">
        <v>1181</v>
      </c>
      <c r="B357" s="1" t="s">
        <v>1008</v>
      </c>
      <c r="C357" s="1" t="s">
        <v>1213</v>
      </c>
      <c r="D357" s="1" t="s">
        <v>1214</v>
      </c>
      <c r="E357" s="16" t="s">
        <v>1215</v>
      </c>
      <c r="F357" s="14" t="s">
        <v>1216</v>
      </c>
      <c r="G357" s="1" t="s">
        <v>54</v>
      </c>
      <c r="H357" s="15" t="s">
        <v>1186</v>
      </c>
      <c r="J357" s="8" t="str">
        <f>IFERROR(__xludf.DUMMYFUNCTION("IF(ISBLANK(F357),""NA"", VLOOKUP(F357,IMPORTRANGE(""https://docs.google.com/spreadsheets/d/1EdCvim__xyxvoo9WoburDTzYylznTCOJBHcnu7eurMw/edit?gid=15948134#gid=15948134"", ""Purpose!A1:B1000""),2,FALSE()))"),"to account imbalance classes when training a classification model")</f>
        <v>to account imbalance classes when training a classification model</v>
      </c>
      <c r="K357" s="8" t="str">
        <f>IFERROR(__xludf.DUMMYFUNCTION("IF(ISBLANK(E357),""NA"", VLOOKUP(E357,IMPORTRANGE(""https://docs.google.com/spreadsheets/d/1EdCvim__xyxvoo9WoburDTzYylznTCOJBHcnu7eurMw/edit?gid=15948134#gid=15948134"", ""Technique!A1:B2000""),2,FALSE()))"),"report model fine details (e.g., Weighted Cross entropy loss)")</f>
        <v>report model fine details (e.g., Weighted Cross entropy loss)</v>
      </c>
      <c r="L357" s="8" t="str">
        <f>IFERROR(__xludf.DUMMYFUNCTION("IF(ISBLANK(D357),""NA"", VLOOKUP(D357,IMPORTRANGE(""https://docs.google.com/spreadsheets/d/1EdCvim__xyxvoo9WoburDTzYylznTCOJBHcnu7eurMw/edit?gid=15948134#gid=15948134"", ""Input!A1:B2000""),2,FALSE()))"),"data (training set) + LSTM model(s)")</f>
        <v>data (training set) + LSTM model(s)</v>
      </c>
    </row>
    <row r="358" hidden="1">
      <c r="A358" s="1" t="s">
        <v>1181</v>
      </c>
      <c r="B358" s="1">
        <v>20.0</v>
      </c>
      <c r="C358" s="1" t="s">
        <v>1217</v>
      </c>
      <c r="D358" s="1" t="s">
        <v>698</v>
      </c>
      <c r="E358" s="16" t="s">
        <v>1218</v>
      </c>
      <c r="F358" s="14" t="s">
        <v>1219</v>
      </c>
      <c r="G358" s="1" t="s">
        <v>54</v>
      </c>
      <c r="H358" s="15" t="s">
        <v>1186</v>
      </c>
      <c r="J358" s="8" t="str">
        <f>IFERROR(__xludf.DUMMYFUNCTION("IF(ISBLANK(F358),""NA"", VLOOKUP(F358,IMPORTRANGE(""https://docs.google.com/spreadsheets/d/1EdCvim__xyxvoo9WoburDTzYylznTCOJBHcnu7eurMw/edit?gid=15948134#gid=15948134"", ""Purpose!A1:B1000""),2,FALSE()))"),"to use a known effective optimizer")</f>
        <v>to use a known effective optimizer</v>
      </c>
      <c r="K358" s="8" t="str">
        <f>IFERROR(__xludf.DUMMYFUNCTION("IF(ISBLANK(E358),""NA"", VLOOKUP(E358,IMPORTRANGE(""https://docs.google.com/spreadsheets/d/1EdCvim__xyxvoo9WoburDTzYylznTCOJBHcnu7eurMw/edit?gid=15948134#gid=15948134"", ""Technique!A1:B2000""),2,FALSE()))"),"report model fine details (e.g., LR optimization (Adam))")</f>
        <v>report model fine details (e.g., LR optimization (Adam))</v>
      </c>
      <c r="L358" s="8" t="str">
        <f>IFERROR(__xludf.DUMMYFUNCTION("IF(ISBLANK(D358),""NA"", VLOOKUP(D358,IMPORTRANGE(""https://docs.google.com/spreadsheets/d/1EdCvim__xyxvoo9WoburDTzYylznTCOJBHcnu7eurMw/edit?gid=15948134#gid=15948134"", ""Input!A1:B2000""),2,FALSE()))"),"data (training set)")</f>
        <v>data (training set)</v>
      </c>
    </row>
    <row r="359" hidden="1">
      <c r="A359" s="1" t="s">
        <v>1181</v>
      </c>
      <c r="B359" s="1">
        <v>21.0</v>
      </c>
      <c r="C359" s="1" t="s">
        <v>1217</v>
      </c>
      <c r="D359" s="1" t="s">
        <v>698</v>
      </c>
      <c r="E359" s="16" t="s">
        <v>1220</v>
      </c>
      <c r="F359" s="14" t="s">
        <v>1221</v>
      </c>
      <c r="G359" s="1" t="s">
        <v>54</v>
      </c>
      <c r="H359" s="15" t="s">
        <v>1186</v>
      </c>
      <c r="J359" s="8" t="str">
        <f>IFERROR(__xludf.DUMMYFUNCTION("IF(ISBLANK(F359),""NA"", VLOOKUP(F359,IMPORTRANGE(""https://docs.google.com/spreadsheets/d/1EdCvim__xyxvoo9WoburDTzYylznTCOJBHcnu7eurMw/edit?gid=15948134#gid=15948134"", ""Purpose!A1:B1000""),2,FALSE()))"),"to optimize validation loss")</f>
        <v>to optimize validation loss</v>
      </c>
      <c r="K359" s="8" t="str">
        <f>IFERROR(__xludf.DUMMYFUNCTION("IF(ISBLANK(E359),""NA"", VLOOKUP(E359,IMPORTRANGE(""https://docs.google.com/spreadsheets/d/1EdCvim__xyxvoo9WoburDTzYylznTCOJBHcnu7eurMw/edit?gid=15948134#gid=15948134"", ""Technique!A1:B2000""),2,FALSE()))"),"early stopping")</f>
        <v>early stopping</v>
      </c>
      <c r="L359" s="8" t="str">
        <f>IFERROR(__xludf.DUMMYFUNCTION("IF(ISBLANK(D359),""NA"", VLOOKUP(D359,IMPORTRANGE(""https://docs.google.com/spreadsheets/d/1EdCvim__xyxvoo9WoburDTzYylznTCOJBHcnu7eurMw/edit?gid=15948134#gid=15948134"", ""Input!A1:B2000""),2,FALSE()))"),"data (training set)")</f>
        <v>data (training set)</v>
      </c>
    </row>
    <row r="360" hidden="1">
      <c r="A360" s="1" t="s">
        <v>1181</v>
      </c>
      <c r="B360" s="1">
        <v>22.0</v>
      </c>
      <c r="C360" s="1" t="s">
        <v>1217</v>
      </c>
      <c r="D360" s="1" t="s">
        <v>698</v>
      </c>
      <c r="E360" s="16" t="s">
        <v>1222</v>
      </c>
      <c r="F360" s="14" t="s">
        <v>1223</v>
      </c>
      <c r="G360" s="1" t="s">
        <v>54</v>
      </c>
      <c r="H360" s="15" t="s">
        <v>1186</v>
      </c>
      <c r="J360" s="8" t="str">
        <f>IFERROR(__xludf.DUMMYFUNCTION("IF(ISBLANK(F360),""NA"", VLOOKUP(F360,IMPORTRANGE(""https://docs.google.com/spreadsheets/d/1EdCvim__xyxvoo9WoburDTzYylznTCOJBHcnu7eurMw/edit?gid=15948134#gid=15948134"", ""Purpose!A1:B1000""),2,FALSE()))"),"to find the best hyperparameters in general")</f>
        <v>to find the best hyperparameters in general</v>
      </c>
      <c r="K360" s="8" t="str">
        <f>IFERROR(__xludf.DUMMYFUNCTION("IF(ISBLANK(E360),""NA"", VLOOKUP(E360,IMPORTRANGE(""https://docs.google.com/spreadsheets/d/1EdCvim__xyxvoo9WoburDTzYylznTCOJBHcnu7eurMw/edit?gid=15948134#gid=15948134"", ""Technique!A1:B2000""),2,FALSE()))"),"grid search")</f>
        <v>grid search</v>
      </c>
      <c r="L360" s="8" t="str">
        <f>IFERROR(__xludf.DUMMYFUNCTION("IF(ISBLANK(D360),""NA"", VLOOKUP(D360,IMPORTRANGE(""https://docs.google.com/spreadsheets/d/1EdCvim__xyxvoo9WoburDTzYylznTCOJBHcnu7eurMw/edit?gid=15948134#gid=15948134"", ""Input!A1:B2000""),2,FALSE()))"),"data (training set)")</f>
        <v>data (training set)</v>
      </c>
    </row>
    <row r="361" hidden="1">
      <c r="A361" s="1" t="s">
        <v>1181</v>
      </c>
      <c r="B361" s="11">
        <v>40839.0</v>
      </c>
      <c r="C361" s="1" t="s">
        <v>1224</v>
      </c>
      <c r="D361" s="1" t="s">
        <v>1205</v>
      </c>
      <c r="E361" s="14" t="s">
        <v>1225</v>
      </c>
      <c r="F361" s="14" t="s">
        <v>716</v>
      </c>
      <c r="G361" s="1" t="s">
        <v>39</v>
      </c>
      <c r="H361" s="15" t="s">
        <v>1186</v>
      </c>
      <c r="J361" s="8" t="str">
        <f>IFERROR(__xludf.DUMMYFUNCTION("IF(ISBLANK(F361),""NA"", VLOOKUP(F361,IMPORTRANGE(""https://docs.google.com/spreadsheets/d/1EdCvim__xyxvoo9WoburDTzYylznTCOJBHcnu7eurMw/edit?gid=15948134#gid=15948134"", ""Purpose!A1:B1000""),2,FALSE()))"),"to evaluate model(s) functionally (e.g., accuracy)")</f>
        <v>to evaluate model(s) functionally (e.g., accuracy)</v>
      </c>
      <c r="K361" s="8" t="str">
        <f>IFERROR(__xludf.DUMMYFUNCTION("IF(ISBLANK(E361),""NA"", VLOOKUP(E361,IMPORTRANGE(""https://docs.google.com/spreadsheets/d/1EdCvim__xyxvoo9WoburDTzYylznTCOJBHcnu7eurMw/edit?gid=15948134#gid=15948134"", ""Technique!A1:B2000""),2,FALSE()))"),"compute classical metrics (i.e., Precision, Recall)")</f>
        <v>compute classical metrics (i.e., Precision, Recall)</v>
      </c>
      <c r="L361" s="8" t="str">
        <f>IFERROR(__xludf.DUMMYFUNCTION("IF(ISBLANK(D361),""NA"", VLOOKUP(D361,IMPORTRANGE(""https://docs.google.com/spreadsheets/d/1EdCvim__xyxvoo9WoburDTzYylznTCOJBHcnu7eurMw/edit?gid=15948134#gid=15948134"", ""Input!A1:B2000""),2,FALSE()))"),"data (test set) + model(s)")</f>
        <v>data (test set) + model(s)</v>
      </c>
    </row>
    <row r="362" hidden="1">
      <c r="A362" s="1" t="s">
        <v>1181</v>
      </c>
      <c r="B362" s="1">
        <v>8.0</v>
      </c>
      <c r="C362" s="1" t="s">
        <v>1226</v>
      </c>
      <c r="D362" s="1" t="s">
        <v>1227</v>
      </c>
      <c r="E362" s="14" t="s">
        <v>1228</v>
      </c>
      <c r="F362" s="14" t="s">
        <v>1229</v>
      </c>
      <c r="G362" s="1" t="s">
        <v>39</v>
      </c>
      <c r="H362" s="15" t="s">
        <v>1186</v>
      </c>
      <c r="J362" s="8" t="str">
        <f>IFERROR(__xludf.DUMMYFUNCTION("IF(ISBLANK(F362),""NA"", VLOOKUP(F362,IMPORTRANGE(""https://docs.google.com/spreadsheets/d/1EdCvim__xyxvoo9WoburDTzYylznTCOJBHcnu7eurMw/edit?gid=15948134#gid=15948134"", ""Purpose!A1:B1000""),2,FALSE()))"),"to ensure that the model is capable of generalize")</f>
        <v>to ensure that the model is capable of generalize</v>
      </c>
      <c r="K362" s="8" t="str">
        <f>IFERROR(__xludf.DUMMYFUNCTION("IF(ISBLANK(E362),""NA"", VLOOKUP(E362,IMPORTRANGE(""https://docs.google.com/spreadsheets/d/1EdCvim__xyxvoo9WoburDTzYylznTCOJBHcnu7eurMw/edit?gid=15948134#gid=15948134"", ""Technique!A1:B2000""),2,FALSE()))"),"multiple runs/experiments, use labeled data for trainig and evaluate in real data")</f>
        <v>multiple runs/experiments, use labeled data for trainig and evaluate in real data</v>
      </c>
      <c r="L362" s="8" t="str">
        <f>IFERROR(__xludf.DUMMYFUNCTION("IF(ISBLANK(D362),""NA"", VLOOKUP(D362,IMPORTRANGE(""https://docs.google.com/spreadsheets/d/1EdCvim__xyxvoo9WoburDTzYylznTCOJBHcnu7eurMw/edit?gid=15948134#gid=15948134"", ""Input!A1:B2000""),2,FALSE()))"),"data + LSTM model(s)")</f>
        <v>data + LSTM model(s)</v>
      </c>
    </row>
    <row r="363" hidden="1">
      <c r="A363" s="1" t="s">
        <v>1181</v>
      </c>
      <c r="B363" s="1">
        <v>9.0</v>
      </c>
      <c r="C363" s="1" t="s">
        <v>1230</v>
      </c>
      <c r="D363" s="1" t="s">
        <v>1227</v>
      </c>
      <c r="E363" s="14" t="s">
        <v>933</v>
      </c>
      <c r="F363" s="14" t="s">
        <v>1231</v>
      </c>
      <c r="G363" s="1" t="s">
        <v>39</v>
      </c>
      <c r="H363" s="15" t="s">
        <v>1186</v>
      </c>
      <c r="J363" s="8" t="str">
        <f>IFERROR(__xludf.DUMMYFUNCTION("IF(ISBLANK(F363),""NA"", VLOOKUP(F363,IMPORTRANGE(""https://docs.google.com/spreadsheets/d/1EdCvim__xyxvoo9WoburDTzYylznTCOJBHcnu7eurMw/edit?gid=15948134#gid=15948134"", ""Purpose!A1:B1000""),2,FALSE()))"),"to evaluate model(s) functionally (e.g., accuracy)")</f>
        <v>to evaluate model(s) functionally (e.g., accuracy)</v>
      </c>
      <c r="K363" s="8" t="str">
        <f>IFERROR(__xludf.DUMMYFUNCTION("IF(ISBLANK(E363),""NA"", VLOOKUP(E363,IMPORTRANGE(""https://docs.google.com/spreadsheets/d/1EdCvim__xyxvoo9WoburDTzYylznTCOJBHcnu7eurMw/edit?gid=15948134#gid=15948134"", ""Technique!A1:B2000""),2,FALSE()))"),"cross validation")</f>
        <v>cross validation</v>
      </c>
      <c r="L363" s="8" t="str">
        <f>IFERROR(__xludf.DUMMYFUNCTION("IF(ISBLANK(D363),""NA"", VLOOKUP(D363,IMPORTRANGE(""https://docs.google.com/spreadsheets/d/1EdCvim__xyxvoo9WoburDTzYylznTCOJBHcnu7eurMw/edit?gid=15948134#gid=15948134"", ""Input!A1:B2000""),2,FALSE()))"),"data + LSTM model(s)")</f>
        <v>data + LSTM model(s)</v>
      </c>
    </row>
    <row r="364" hidden="1">
      <c r="A364" s="1" t="s">
        <v>1181</v>
      </c>
      <c r="B364" s="1">
        <v>11.0</v>
      </c>
      <c r="C364" s="1" t="s">
        <v>1232</v>
      </c>
      <c r="D364" s="1" t="s">
        <v>1233</v>
      </c>
      <c r="E364" s="14" t="s">
        <v>1234</v>
      </c>
      <c r="F364" s="14" t="s">
        <v>1235</v>
      </c>
      <c r="G364" s="1" t="s">
        <v>39</v>
      </c>
      <c r="H364" s="15" t="s">
        <v>1186</v>
      </c>
      <c r="J364" s="8" t="str">
        <f>IFERROR(__xludf.DUMMYFUNCTION("IF(ISBLANK(F364),""NA"", VLOOKUP(F364,IMPORTRANGE(""https://docs.google.com/spreadsheets/d/1EdCvim__xyxvoo9WoburDTzYylznTCOJBHcnu7eurMw/edit?gid=15948134#gid=15948134"", ""Purpose!A1:B1000""),2,FALSE()))"),"to evaluate model(s) functionally (e.g., accuracy) in different devices")</f>
        <v>to evaluate model(s) functionally (e.g., accuracy) in different devices</v>
      </c>
      <c r="K364" s="8" t="str">
        <f>IFERROR(__xludf.DUMMYFUNCTION("IF(ISBLANK(E364),""NA"", VLOOKUP(E364,IMPORTRANGE(""https://docs.google.com/spreadsheets/d/1EdCvim__xyxvoo9WoburDTzYylznTCOJBHcnu7eurMw/edit?gid=15948134#gid=15948134"", ""Technique!A1:B2000""),2,FALSE()))"),"multiple runs/experiments in different device")</f>
        <v>multiple runs/experiments in different device</v>
      </c>
      <c r="L364" s="8" t="str">
        <f>IFERROR(__xludf.DUMMYFUNCTION("IF(ISBLANK(D364),""NA"", VLOOKUP(D364,IMPORTRANGE(""https://docs.google.com/spreadsheets/d/1EdCvim__xyxvoo9WoburDTzYylznTCOJBHcnu7eurMw/edit?gid=15948134#gid=15948134"", ""Input!A1:B2000""),2,FALSE()))"),"data (new version) + model")</f>
        <v>data (new version) + model</v>
      </c>
    </row>
    <row r="365" hidden="1">
      <c r="A365" s="1" t="s">
        <v>1181</v>
      </c>
      <c r="B365" s="1">
        <v>12.0</v>
      </c>
      <c r="C365" s="1" t="s">
        <v>1236</v>
      </c>
      <c r="D365" s="1" t="s">
        <v>1237</v>
      </c>
      <c r="E365" s="14" t="s">
        <v>1238</v>
      </c>
      <c r="F365" s="14" t="s">
        <v>1239</v>
      </c>
      <c r="G365" s="1" t="s">
        <v>39</v>
      </c>
      <c r="H365" s="15" t="s">
        <v>1186</v>
      </c>
      <c r="J365" s="8" t="str">
        <f>IFERROR(__xludf.DUMMYFUNCTION("IF(ISBLANK(F365),""NA"", VLOOKUP(F365,IMPORTRANGE(""https://docs.google.com/spreadsheets/d/1EdCvim__xyxvoo9WoburDTzYylznTCOJBHcnu7eurMw/edit?gid=15948134#gid=15948134"", ""Purpose!A1:B1000""),2,FALSE()))"),"to evaluate model(s) functionally (e.g., accuracy)")</f>
        <v>to evaluate model(s) functionally (e.g., accuracy)</v>
      </c>
      <c r="K365" s="8" t="str">
        <f>IFERROR(__xludf.DUMMYFUNCTION("IF(ISBLANK(E365),""NA"", VLOOKUP(E365,IMPORTRANGE(""https://docs.google.com/spreadsheets/d/1EdCvim__xyxvoo9WoburDTzYylznTCOJBHcnu7eurMw/edit?gid=15948134#gid=15948134"", ""Technique!A1:B2000""),2,FALSE()))"),"compute execution time + compute training time")</f>
        <v>compute execution time + compute training time</v>
      </c>
      <c r="L365" s="8" t="str">
        <f>IFERROR(__xludf.DUMMYFUNCTION("IF(ISBLANK(D365),""NA"", VLOOKUP(D365,IMPORTRANGE(""https://docs.google.com/spreadsheets/d/1EdCvim__xyxvoo9WoburDTzYylznTCOJBHcnu7eurMw/edit?gid=15948134#gid=15948134"", ""Input!A1:B2000""),2,FALSE()))"),"hardware settings")</f>
        <v>hardware settings</v>
      </c>
    </row>
    <row r="366" hidden="1">
      <c r="A366" s="1" t="s">
        <v>1240</v>
      </c>
      <c r="B366" s="1" t="s">
        <v>1241</v>
      </c>
      <c r="C366" s="1" t="s">
        <v>1242</v>
      </c>
      <c r="D366" s="1" t="s">
        <v>1243</v>
      </c>
      <c r="E366" s="14" t="s">
        <v>1244</v>
      </c>
      <c r="F366" s="14" t="s">
        <v>1245</v>
      </c>
      <c r="G366" s="1" t="s">
        <v>14</v>
      </c>
      <c r="H366" s="15" t="s">
        <v>1246</v>
      </c>
      <c r="J366" s="8" t="str">
        <f>IFERROR(__xludf.DUMMYFUNCTION("IF(ISBLANK(F366),""NA"", VLOOKUP(F366,IMPORTRANGE(""https://docs.google.com/spreadsheets/d/1EdCvim__xyxvoo9WoburDTzYylznTCOJBHcnu7eurMw/edit?gid=15948134#gid=15948134"", ""Purpose!A1:B1000""),2,FALSE()))"),"to embed domain specifc data")</f>
        <v>to embed domain specifc data</v>
      </c>
      <c r="K366" s="8" t="str">
        <f>IFERROR(__xludf.DUMMYFUNCTION("IF(ISBLANK(E366),""NA"", VLOOKUP(E366,IMPORTRANGE(""https://docs.google.com/spreadsheets/d/1EdCvim__xyxvoo9WoburDTzYylznTCOJBHcnu7eurMw/edit?gid=15948134#gid=15948134"", ""Technique!A1:B2000""),2,FALSE()))"),"embeddings, Word2vec-Skip-gram")</f>
        <v>embeddings, Word2vec-Skip-gram</v>
      </c>
      <c r="L366" s="8" t="str">
        <f>IFERROR(__xludf.DUMMYFUNCTION("IF(ISBLANK(D366),""NA"", VLOOKUP(D366,IMPORTRANGE(""https://docs.google.com/spreadsheets/d/1EdCvim__xyxvoo9WoburDTzYylznTCOJBHcnu7eurMw/edit?gid=15948134#gid=15948134"", ""Input!A1:B2000""),2,FALSE()))"),"data mined from Q&amp;As (i.e., stack overflow)")</f>
        <v>data mined from Q&amp;As (i.e., stack overflow)</v>
      </c>
    </row>
    <row r="367" hidden="1">
      <c r="A367" s="1" t="s">
        <v>1240</v>
      </c>
      <c r="B367" s="1" t="s">
        <v>1247</v>
      </c>
      <c r="C367" s="1" t="s">
        <v>1248</v>
      </c>
      <c r="D367" s="1" t="s">
        <v>1249</v>
      </c>
      <c r="E367" s="16" t="s">
        <v>1250</v>
      </c>
      <c r="F367" s="14" t="s">
        <v>1251</v>
      </c>
      <c r="G367" s="1" t="s">
        <v>54</v>
      </c>
      <c r="H367" s="15" t="s">
        <v>1246</v>
      </c>
      <c r="J367" s="8" t="str">
        <f>IFERROR(__xludf.DUMMYFUNCTION("IF(ISBLANK(F367),""NA"", VLOOKUP(F367,IMPORTRANGE(""https://docs.google.com/spreadsheets/d/1EdCvim__xyxvoo9WoburDTzYylznTCOJBHcnu7eurMw/edit?gid=15948134#gid=15948134"", ""Purpose!A1:B1000""),2,FALSE()))"),"to train a model for predicting whether two elemenst relate to each other ")</f>
        <v>to train a model for predicting whether two elemenst relate to each other </v>
      </c>
      <c r="K367" s="8" t="str">
        <f>IFERROR(__xludf.DUMMYFUNCTION("IF(ISBLANK(E367),""NA"", VLOOKUP(E367,IMPORTRANGE(""https://docs.google.com/spreadsheets/d/1EdCvim__xyxvoo9WoburDTzYylznTCOJBHcnu7eurMw/edit?gid=15948134#gid=15948134"", ""Technique!A1:B2000""),2,FALSE()))"),"use convolutional neural networks")</f>
        <v>use convolutional neural networks</v>
      </c>
      <c r="L367" s="8" t="str">
        <f>IFERROR(__xludf.DUMMYFUNCTION("IF(ISBLANK(D367),""NA"", VLOOKUP(D367,IMPORTRANGE(""https://docs.google.com/spreadsheets/d/1EdCvim__xyxvoo9WoburDTzYylznTCOJBHcnu7eurMw/edit?gid=15948134#gid=15948134"", ""Input!A1:B2000""),2,FALSE()))"),"embeddings")</f>
        <v>embeddings</v>
      </c>
    </row>
    <row r="368" hidden="1">
      <c r="A368" s="1" t="s">
        <v>1240</v>
      </c>
      <c r="B368" s="1">
        <v>11.0</v>
      </c>
      <c r="C368" s="1" t="s">
        <v>1248</v>
      </c>
      <c r="E368" s="16" t="s">
        <v>1252</v>
      </c>
      <c r="G368" s="1" t="s">
        <v>54</v>
      </c>
      <c r="H368" s="15" t="s">
        <v>1246</v>
      </c>
      <c r="J368" s="8" t="str">
        <f>IFERROR(__xludf.DUMMYFUNCTION("IF(ISBLANK(F368),""NA"", VLOOKUP(F368,IMPORTRANGE(""https://docs.google.com/spreadsheets/d/1EdCvim__xyxvoo9WoburDTzYylznTCOJBHcnu7eurMw/edit?gid=15948134#gid=15948134"", ""Purpose!A1:B1000""),2,FALSE()))"),"NA")</f>
        <v>NA</v>
      </c>
      <c r="K368" s="8" t="str">
        <f>IFERROR(__xludf.DUMMYFUNCTION("IF(ISBLANK(E368),""NA"", VLOOKUP(E368,IMPORTRANGE(""https://docs.google.com/spreadsheets/d/1EdCvim__xyxvoo9WoburDTzYylznTCOJBHcnu7eurMw/edit?gid=15948134#gid=15948134"", ""Technique!A1:B2000""),2,FALSE()))"),"report model fine details (e.g., Cosine loss)")</f>
        <v>report model fine details (e.g., Cosine loss)</v>
      </c>
      <c r="L368" s="8" t="str">
        <f>IFERROR(__xludf.DUMMYFUNCTION("IF(ISBLANK(D368),""NA"", VLOOKUP(D368,IMPORTRANGE(""https://docs.google.com/spreadsheets/d/1EdCvim__xyxvoo9WoburDTzYylznTCOJBHcnu7eurMw/edit?gid=15948134#gid=15948134"", ""Input!A1:B2000""),2,FALSE()))"),"NA")</f>
        <v>NA</v>
      </c>
    </row>
    <row r="369" hidden="1">
      <c r="A369" s="1" t="s">
        <v>1240</v>
      </c>
      <c r="B369" s="1">
        <v>3.0</v>
      </c>
      <c r="C369" s="1" t="s">
        <v>1253</v>
      </c>
      <c r="D369" s="1" t="s">
        <v>1254</v>
      </c>
      <c r="E369" s="16" t="s">
        <v>1255</v>
      </c>
      <c r="G369" s="1" t="s">
        <v>20</v>
      </c>
      <c r="H369" s="15" t="s">
        <v>1246</v>
      </c>
      <c r="J369" s="8" t="str">
        <f>IFERROR(__xludf.DUMMYFUNCTION("IF(ISBLANK(F369),""NA"", VLOOKUP(F369,IMPORTRANGE(""https://docs.google.com/spreadsheets/d/1EdCvim__xyxvoo9WoburDTzYylznTCOJBHcnu7eurMw/edit?gid=15948134#gid=15948134"", ""Purpose!A1:B1000""),2,FALSE()))"),"NA")</f>
        <v>NA</v>
      </c>
      <c r="K369" s="8" t="str">
        <f>IFERROR(__xludf.DUMMYFUNCTION("IF(ISBLANK(E369),""NA"", VLOOKUP(E369,IMPORTRANGE(""https://docs.google.com/spreadsheets/d/1EdCvim__xyxvoo9WoburDTzYylznTCOJBHcnu7eurMw/edit?gid=15948134#gid=15948134"", ""Technique!A1:B2000""),2,FALSE()))"),"remove large code snippets in a specific HTML tag + remove HTML tags")</f>
        <v>remove large code snippets in a specific HTML tag + remove HTML tags</v>
      </c>
      <c r="L369" s="8" t="str">
        <f>IFERROR(__xludf.DUMMYFUNCTION("IF(ISBLANK(D369),""NA"", VLOOKUP(D369,IMPORTRANGE(""https://docs.google.com/spreadsheets/d/1EdCvim__xyxvoo9WoburDTzYylznTCOJBHcnu7eurMw/edit?gid=15948134#gid=15948134"", ""Input!A1:B2000""),2,FALSE()))"),"data mined from Q&amp;As (i.e., stack overflow)")</f>
        <v>data mined from Q&amp;As (i.e., stack overflow)</v>
      </c>
    </row>
    <row r="370" hidden="1">
      <c r="A370" s="1" t="s">
        <v>1240</v>
      </c>
      <c r="B370" s="1">
        <v>4.0</v>
      </c>
      <c r="C370" s="1" t="s">
        <v>1253</v>
      </c>
      <c r="D370" s="1" t="s">
        <v>1254</v>
      </c>
      <c r="E370" s="16" t="s">
        <v>1256</v>
      </c>
      <c r="F370" s="14" t="s">
        <v>1257</v>
      </c>
      <c r="G370" s="1" t="s">
        <v>54</v>
      </c>
      <c r="H370" s="15" t="s">
        <v>1246</v>
      </c>
      <c r="J370" s="8" t="str">
        <f>IFERROR(__xludf.DUMMYFUNCTION("IF(ISBLANK(F370),""NA"", VLOOKUP(F370,IMPORTRANGE(""https://docs.google.com/spreadsheets/d/1EdCvim__xyxvoo9WoburDTzYylznTCOJBHcnu7eurMw/edit?gid=15948134#gid=15948134"", ""Purpose!A1:B1000""),2,FALSE()))"),"to tokenize code data while preserving the integrity of the code tokens.")</f>
        <v>to tokenize code data while preserving the integrity of the code tokens.</v>
      </c>
      <c r="K370" s="8" t="str">
        <f>IFERROR(__xludf.DUMMYFUNCTION("IF(ISBLANK(E370),""NA"", VLOOKUP(E370,IMPORTRANGE(""https://docs.google.com/spreadsheets/d/1EdCvim__xyxvoo9WoburDTzYylznTCOJBHcnu7eurMw/edit?gid=15948134#gid=15948134"", ""Technique!A1:B2000""),2,FALSE()))"),"use software-speciﬁc tokenizer")</f>
        <v>use software-speciﬁc tokenizer</v>
      </c>
      <c r="L370" s="8" t="str">
        <f>IFERROR(__xludf.DUMMYFUNCTION("IF(ISBLANK(D370),""NA"", VLOOKUP(D370,IMPORTRANGE(""https://docs.google.com/spreadsheets/d/1EdCvim__xyxvoo9WoburDTzYylznTCOJBHcnu7eurMw/edit?gid=15948134#gid=15948134"", ""Input!A1:B2000""),2,FALSE()))"),"data mined from Q&amp;As (i.e., stack overflow)")</f>
        <v>data mined from Q&amp;As (i.e., stack overflow)</v>
      </c>
    </row>
    <row r="371" hidden="1">
      <c r="A371" s="1" t="s">
        <v>1240</v>
      </c>
      <c r="B371" s="1">
        <v>5.0</v>
      </c>
      <c r="C371" s="1" t="s">
        <v>1258</v>
      </c>
      <c r="D371" s="1" t="s">
        <v>1259</v>
      </c>
      <c r="E371" s="16" t="s">
        <v>1260</v>
      </c>
      <c r="G371" s="1" t="s">
        <v>54</v>
      </c>
      <c r="H371" s="15" t="s">
        <v>1246</v>
      </c>
      <c r="J371" s="8" t="str">
        <f>IFERROR(__xludf.DUMMYFUNCTION("IF(ISBLANK(F371),""NA"", VLOOKUP(F371,IMPORTRANGE(""https://docs.google.com/spreadsheets/d/1EdCvim__xyxvoo9WoburDTzYylznTCOJBHcnu7eurMw/edit?gid=15948134#gid=15948134"", ""Purpose!A1:B1000""),2,FALSE()))"),"NA")</f>
        <v>NA</v>
      </c>
      <c r="K371" s="8" t="str">
        <f>IFERROR(__xludf.DUMMYFUNCTION("IF(ISBLANK(E371),""NA"", VLOOKUP(E371,IMPORTRANGE(""https://docs.google.com/spreadsheets/d/1EdCvim__xyxvoo9WoburDTzYylznTCOJBHcnu7eurMw/edit?gid=15948134#gid=15948134"", ""Technique!A1:B2000""),2,FALSE()))"),"minimize the mean square error")</f>
        <v>minimize the mean square error</v>
      </c>
      <c r="L371" s="8" t="str">
        <f>IFERROR(__xludf.DUMMYFUNCTION("IF(ISBLANK(D371),""NA"", VLOOKUP(D371,IMPORTRANGE(""https://docs.google.com/spreadsheets/d/1EdCvim__xyxvoo9WoburDTzYylznTCOJBHcnu7eurMw/edit?gid=15948134#gid=15948134"", ""Input!A1:B2000""),2,FALSE()))"),"CNN model(s)")</f>
        <v>CNN model(s)</v>
      </c>
    </row>
    <row r="372" hidden="1">
      <c r="A372" s="1" t="s">
        <v>1240</v>
      </c>
      <c r="B372" s="1">
        <v>12.0</v>
      </c>
      <c r="C372" s="1" t="s">
        <v>1261</v>
      </c>
      <c r="E372" s="16" t="s">
        <v>1262</v>
      </c>
      <c r="F372" s="14" t="s">
        <v>1103</v>
      </c>
      <c r="G372" s="1" t="s">
        <v>54</v>
      </c>
      <c r="H372" s="15" t="s">
        <v>1246</v>
      </c>
      <c r="J372" s="8" t="str">
        <f>IFERROR(__xludf.DUMMYFUNCTION("IF(ISBLANK(F372),""NA"", VLOOKUP(F372,IMPORTRANGE(""https://docs.google.com/spreadsheets/d/1EdCvim__xyxvoo9WoburDTzYylznTCOJBHcnu7eurMw/edit?gid=15948134#gid=15948134"", ""Purpose!A1:B1000""),2,FALSE()))"),"to be able to replicate/reproduce a study")</f>
        <v>to be able to replicate/reproduce a study</v>
      </c>
      <c r="K372" s="8" t="str">
        <f>IFERROR(__xludf.DUMMYFUNCTION("IF(ISBLANK(E372),""NA"", VLOOKUP(E372,IMPORTRANGE(""https://docs.google.com/spreadsheets/d/1EdCvim__xyxvoo9WoburDTzYylznTCOJBHcnu7eurMw/edit?gid=15948134#gid=15948134"", ""Technique!A1:B2000""),2,FALSE()))"),"report model architecture")</f>
        <v>report model architecture</v>
      </c>
      <c r="L372" s="8" t="str">
        <f>IFERROR(__xludf.DUMMYFUNCTION("IF(ISBLANK(D372),""NA"", VLOOKUP(D372,IMPORTRANGE(""https://docs.google.com/spreadsheets/d/1EdCvim__xyxvoo9WoburDTzYylznTCOJBHcnu7eurMw/edit?gid=15948134#gid=15948134"", ""Input!A1:B2000""),2,FALSE()))"),"NA")</f>
        <v>NA</v>
      </c>
    </row>
    <row r="373" hidden="1">
      <c r="A373" s="1" t="s">
        <v>1240</v>
      </c>
      <c r="B373" s="1">
        <v>13.0</v>
      </c>
      <c r="C373" s="1" t="s">
        <v>1263</v>
      </c>
      <c r="D373" s="1" t="s">
        <v>698</v>
      </c>
      <c r="E373" s="14" t="s">
        <v>1264</v>
      </c>
      <c r="F373" s="14" t="s">
        <v>1265</v>
      </c>
      <c r="G373" s="1" t="s">
        <v>14</v>
      </c>
      <c r="H373" s="15" t="s">
        <v>1246</v>
      </c>
      <c r="J373" s="8" t="str">
        <f>IFERROR(__xludf.DUMMYFUNCTION("IF(ISBLANK(F373),""NA"", VLOOKUP(F373,IMPORTRANGE(""https://docs.google.com/spreadsheets/d/1EdCvim__xyxvoo9WoburDTzYylznTCOJBHcnu7eurMw/edit?gid=15948134#gid=15948134"", ""Purpose!A1:B1000""),2,FALSE()))"),"to have baseline features")</f>
        <v>to have baseline features</v>
      </c>
      <c r="K373" s="8" t="str">
        <f>IFERROR(__xludf.DUMMYFUNCTION("IF(ISBLANK(E373),""NA"", VLOOKUP(E373,IMPORTRANGE(""https://docs.google.com/spreadsheets/d/1EdCvim__xyxvoo9WoburDTzYylznTCOJBHcnu7eurMw/edit?gid=15948134#gid=15948134"", ""Technique!A1:B2000""),2,FALSE()))"),"use TF-IDF")</f>
        <v>use TF-IDF</v>
      </c>
      <c r="L373" s="8" t="str">
        <f>IFERROR(__xludf.DUMMYFUNCTION("IF(ISBLANK(D373),""NA"", VLOOKUP(D373,IMPORTRANGE(""https://docs.google.com/spreadsheets/d/1EdCvim__xyxvoo9WoburDTzYylznTCOJBHcnu7eurMw/edit?gid=15948134#gid=15948134"", ""Input!A1:B2000""),2,FALSE()))"),"data (training set)")</f>
        <v>data (training set)</v>
      </c>
    </row>
    <row r="374" hidden="1">
      <c r="A374" s="1" t="s">
        <v>1240</v>
      </c>
      <c r="B374" s="1" t="s">
        <v>1266</v>
      </c>
      <c r="C374" s="1" t="s">
        <v>1263</v>
      </c>
      <c r="D374" s="1" t="s">
        <v>698</v>
      </c>
      <c r="E374" s="14" t="s">
        <v>1267</v>
      </c>
      <c r="F374" s="14" t="s">
        <v>1268</v>
      </c>
      <c r="G374" s="14" t="s">
        <v>39</v>
      </c>
      <c r="H374" s="15" t="s">
        <v>1246</v>
      </c>
      <c r="J374" s="8" t="str">
        <f>IFERROR(__xludf.DUMMYFUNCTION("IF(ISBLANK(F374),""NA"", VLOOKUP(F374,IMPORTRANGE(""https://docs.google.com/spreadsheets/d/1EdCvim__xyxvoo9WoburDTzYylznTCOJBHcnu7eurMw/edit?gid=15948134#gid=15948134"", ""Purpose!A1:B1000""),2,FALSE()))"),"to evaluate model(s) functionally (e.g., accuracy) against others")</f>
        <v>to evaluate model(s) functionally (e.g., accuracy) against others</v>
      </c>
      <c r="K374" s="8" t="str">
        <f>IFERROR(__xludf.DUMMYFUNCTION("IF(ISBLANK(E374),""NA"", VLOOKUP(E374,IMPORTRANGE(""https://docs.google.com/spreadsheets/d/1EdCvim__xyxvoo9WoburDTzYylznTCOJBHcnu7eurMw/edit?gid=15948134#gid=15948134"", ""Technique!A1:B2000""),2,FALSE()))"),"compare with baseline model(s), baseline shallow learning (SVM)")</f>
        <v>compare with baseline model(s), baseline shallow learning (SVM)</v>
      </c>
      <c r="L374" s="8" t="str">
        <f>IFERROR(__xludf.DUMMYFUNCTION("IF(ISBLANK(D374),""NA"", VLOOKUP(D374,IMPORTRANGE(""https://docs.google.com/spreadsheets/d/1EdCvim__xyxvoo9WoburDTzYylznTCOJBHcnu7eurMw/edit?gid=15948134#gid=15948134"", ""Input!A1:B2000""),2,FALSE()))"),"data (training set)")</f>
        <v>data (training set)</v>
      </c>
    </row>
    <row r="375" hidden="1">
      <c r="A375" s="1" t="s">
        <v>1240</v>
      </c>
      <c r="B375" s="1">
        <v>7.0</v>
      </c>
      <c r="C375" s="1" t="s">
        <v>1269</v>
      </c>
      <c r="D375" s="1" t="s">
        <v>1270</v>
      </c>
      <c r="E375" s="16" t="s">
        <v>1271</v>
      </c>
      <c r="F375" s="14" t="s">
        <v>901</v>
      </c>
      <c r="G375" s="1" t="s">
        <v>20</v>
      </c>
      <c r="H375" s="15" t="s">
        <v>1246</v>
      </c>
      <c r="J375" s="8" t="str">
        <f>IFERROR(__xludf.DUMMYFUNCTION("IF(ISBLANK(F375),""NA"", VLOOKUP(F375,IMPORTRANGE(""https://docs.google.com/spreadsheets/d/1EdCvim__xyxvoo9WoburDTzYylznTCOJBHcnu7eurMw/edit?gid=15948134#gid=15948134"", ""Purpose!A1:B1000""),2,FALSE()))"),"to split the data into different sets")</f>
        <v>to split the data into different sets</v>
      </c>
      <c r="K375" s="8" t="str">
        <f>IFERROR(__xludf.DUMMYFUNCTION("IF(ISBLANK(E375),""NA"", VLOOKUP(E375,IMPORTRANGE(""https://docs.google.com/spreadsheets/d/1EdCvim__xyxvoo9WoburDTzYylznTCOJBHcnu7eurMw/edit?gid=15948134#gid=15948134"", ""Technique!A1:B2000""),2,FALSE()))"),"split data into train and test")</f>
        <v>split data into train and test</v>
      </c>
      <c r="L375" s="8" t="str">
        <f>IFERROR(__xludf.DUMMYFUNCTION("IF(ISBLANK(D375),""NA"", VLOOKUP(D375,IMPORTRANGE(""https://docs.google.com/spreadsheets/d/1EdCvim__xyxvoo9WoburDTzYylznTCOJBHcnu7eurMw/edit?gid=15948134#gid=15948134"", ""Input!A1:B2000""),2,FALSE()))"),"data mined from Q&amp;As (i.e., stack overflow), knowledge units (Q&amp;A)")</f>
        <v>data mined from Q&amp;As (i.e., stack overflow), knowledge units (Q&amp;A)</v>
      </c>
    </row>
    <row r="376" hidden="1">
      <c r="A376" s="1" t="s">
        <v>1240</v>
      </c>
      <c r="B376" s="1" t="s">
        <v>1272</v>
      </c>
      <c r="C376" s="1" t="s">
        <v>1273</v>
      </c>
      <c r="D376" s="1" t="s">
        <v>1274</v>
      </c>
      <c r="E376" s="14" t="s">
        <v>1275</v>
      </c>
      <c r="F376" s="14" t="s">
        <v>1027</v>
      </c>
      <c r="G376" s="1" t="s">
        <v>39</v>
      </c>
      <c r="H376" s="15" t="s">
        <v>1246</v>
      </c>
      <c r="J376" s="8" t="str">
        <f>IFERROR(__xludf.DUMMYFUNCTION("IF(ISBLANK(F376),""NA"", VLOOKUP(F376,IMPORTRANGE(""https://docs.google.com/spreadsheets/d/1EdCvim__xyxvoo9WoburDTzYylznTCOJBHcnu7eurMw/edit?gid=15948134#gid=15948134"", ""Purpose!A1:B1000""),2,FALSE()))"),"to evaluate the model")</f>
        <v>to evaluate the model</v>
      </c>
      <c r="K376" s="8" t="str">
        <f>IFERROR(__xludf.DUMMYFUNCTION("IF(ISBLANK(E376),""NA"", VLOOKUP(E376,IMPORTRANGE(""https://docs.google.com/spreadsheets/d/1EdCvim__xyxvoo9WoburDTzYylznTCOJBHcnu7eurMw/edit?gid=15948134#gid=15948134"", ""Technique!A1:B2000""),2,FALSE()))"),"compute classical metrics (i.e., Accuracy, Precision, Recall, F-meassure)")</f>
        <v>compute classical metrics (i.e., Accuracy, Precision, Recall, F-meassure)</v>
      </c>
      <c r="L376" s="8" t="str">
        <f>IFERROR(__xludf.DUMMYFUNCTION("IF(ISBLANK(D376),""NA"", VLOOKUP(D376,IMPORTRANGE(""https://docs.google.com/spreadsheets/d/1EdCvim__xyxvoo9WoburDTzYylznTCOJBHcnu7eurMw/edit?gid=15948134#gid=15948134"", ""Input!A1:B2000""),2,FALSE()))"),"data + CNN model(s)")</f>
        <v>data + CNN model(s)</v>
      </c>
    </row>
    <row r="377" hidden="1">
      <c r="A377" s="1" t="s">
        <v>1240</v>
      </c>
      <c r="B377" s="1">
        <v>19.0</v>
      </c>
      <c r="C377" s="1" t="s">
        <v>1276</v>
      </c>
      <c r="D377" s="1" t="s">
        <v>1277</v>
      </c>
      <c r="E377" s="14" t="s">
        <v>1278</v>
      </c>
      <c r="F377" s="14" t="s">
        <v>1279</v>
      </c>
      <c r="G377" s="1" t="s">
        <v>39</v>
      </c>
      <c r="H377" s="15" t="s">
        <v>1246</v>
      </c>
      <c r="J377" s="8" t="str">
        <f>IFERROR(__xludf.DUMMYFUNCTION("IF(ISBLANK(F377),""NA"", VLOOKUP(F377,IMPORTRANGE(""https://docs.google.com/spreadsheets/d/1EdCvim__xyxvoo9WoburDTzYylznTCOJBHcnu7eurMw/edit?gid=15948134#gid=15948134"", ""Purpose!A1:B1000""),2,FALSE()))"),"to evaluate the model non-functionally (i.e., robustness)")</f>
        <v>to evaluate the model non-functionally (i.e., robustness)</v>
      </c>
      <c r="K377" s="8" t="str">
        <f>IFERROR(__xludf.DUMMYFUNCTION("IF(ISBLANK(E377),""NA"", VLOOKUP(E377,IMPORTRANGE(""https://docs.google.com/spreadsheets/d/1EdCvim__xyxvoo9WoburDTzYylznTCOJBHcnu7eurMw/edit?gid=15948134#gid=15948134"", ""Technique!A1:B2000""),2,FALSE()))"),"multiple runs/experiments, on different data sets")</f>
        <v>multiple runs/experiments, on different data sets</v>
      </c>
      <c r="L377" s="8" t="str">
        <f>IFERROR(__xludf.DUMMYFUNCTION("IF(ISBLANK(D377),""NA"", VLOOKUP(D377,IMPORTRANGE(""https://docs.google.com/spreadsheets/d/1EdCvim__xyxvoo9WoburDTzYylznTCOJBHcnu7eurMw/edit?gid=15948134#gid=15948134"", ""Input!A1:B2000""),2,FALSE()))"),"data (test set) + CNN model(s)")</f>
        <v>data (test set) + CNN model(s)</v>
      </c>
    </row>
    <row r="378" hidden="1">
      <c r="A378" s="1" t="s">
        <v>1240</v>
      </c>
      <c r="B378" s="1">
        <v>20.0</v>
      </c>
      <c r="C378" s="1" t="s">
        <v>1280</v>
      </c>
      <c r="E378" s="14" t="s">
        <v>1281</v>
      </c>
      <c r="F378" s="14" t="s">
        <v>1282</v>
      </c>
      <c r="G378" s="1" t="s">
        <v>924</v>
      </c>
      <c r="H378" s="15" t="s">
        <v>1246</v>
      </c>
      <c r="J378" s="8" t="str">
        <f>IFERROR(__xludf.DUMMYFUNCTION("IF(ISBLANK(F378),""NA"", VLOOKUP(F378,IMPORTRANGE(""https://docs.google.com/spreadsheets/d/1EdCvim__xyxvoo9WoburDTzYylznTCOJBHcnu7eurMw/edit?gid=15948134#gid=15948134"", ""Purpose!A1:B1000""),2,FALSE()))"),"to identify hardware and time requirements")</f>
        <v>to identify hardware and time requirements</v>
      </c>
      <c r="K378" s="8" t="str">
        <f>IFERROR(__xludf.DUMMYFUNCTION("IF(ISBLANK(E378),""NA"", VLOOKUP(E378,IMPORTRANGE(""https://docs.google.com/spreadsheets/d/1EdCvim__xyxvoo9WoburDTzYylznTCOJBHcnu7eurMw/edit?gid=15948134#gid=15948134"", ""Technique!A1:B2000""),2,FALSE()))"),"compute training time")</f>
        <v>compute training time</v>
      </c>
      <c r="L378" s="8" t="str">
        <f>IFERROR(__xludf.DUMMYFUNCTION("IF(ISBLANK(D378),""NA"", VLOOKUP(D378,IMPORTRANGE(""https://docs.google.com/spreadsheets/d/1EdCvim__xyxvoo9WoburDTzYylznTCOJBHcnu7eurMw/edit?gid=15948134#gid=15948134"", ""Input!A1:B2000""),2,FALSE()))"),"NA")</f>
        <v>NA</v>
      </c>
    </row>
    <row r="379" hidden="1">
      <c r="A379" s="1" t="s">
        <v>1240</v>
      </c>
      <c r="B379" s="1">
        <v>21.0</v>
      </c>
      <c r="C379" s="1" t="s">
        <v>1283</v>
      </c>
      <c r="D379" s="1" t="s">
        <v>1284</v>
      </c>
      <c r="E379" s="14" t="s">
        <v>1285</v>
      </c>
      <c r="F379" s="14" t="s">
        <v>1286</v>
      </c>
      <c r="G379" s="1" t="s">
        <v>39</v>
      </c>
      <c r="H379" s="15" t="s">
        <v>1246</v>
      </c>
      <c r="J379" s="8" t="str">
        <f>IFERROR(__xludf.DUMMYFUNCTION("IF(ISBLANK(F379),""NA"", VLOOKUP(F379,IMPORTRANGE(""https://docs.google.com/spreadsheets/d/1EdCvim__xyxvoo9WoburDTzYylznTCOJBHcnu7eurMw/edit?gid=15948134#gid=15948134"", ""Purpose!A1:B1000""),2,FALSE()))"),"to understand the model(s) behaviour(s) when model ouperforms while predicting")</f>
        <v>to understand the model(s) behaviour(s) when model ouperforms while predicting</v>
      </c>
      <c r="K379" s="8" t="str">
        <f>IFERROR(__xludf.DUMMYFUNCTION("IF(ISBLANK(E379),""NA"", VLOOKUP(E379,IMPORTRANGE(""https://docs.google.com/spreadsheets/d/1EdCvim__xyxvoo9WoburDTzYylznTCOJBHcnu7eurMw/edit?gid=15948134#gid=15948134"", ""Technique!A1:B2000""),2,FALSE()))"),"use qualitative analysis of output")</f>
        <v>use qualitative analysis of output</v>
      </c>
      <c r="L379" s="8" t="str">
        <f>IFERROR(__xludf.DUMMYFUNCTION("IF(ISBLANK(D379),""NA"", VLOOKUP(D379,IMPORTRANGE(""https://docs.google.com/spreadsheets/d/1EdCvim__xyxvoo9WoburDTzYylznTCOJBHcnu7eurMw/edit?gid=15948134#gid=15948134"", ""Input!A1:B2000""),2,FALSE()))"),"model(s)' output")</f>
        <v>model(s)' output</v>
      </c>
    </row>
    <row r="380" hidden="1">
      <c r="A380" s="1" t="s">
        <v>1287</v>
      </c>
      <c r="B380" s="1" t="s">
        <v>515</v>
      </c>
      <c r="C380" s="1" t="s">
        <v>515</v>
      </c>
      <c r="H380" s="10"/>
      <c r="J380" s="8" t="str">
        <f>IFERROR(__xludf.DUMMYFUNCTION("IF(ISBLANK(F380),""NA"", VLOOKUP(F380,IMPORTRANGE(""https://docs.google.com/spreadsheets/d/1EdCvim__xyxvoo9WoburDTzYylznTCOJBHcnu7eurMw/edit?gid=15948134#gid=15948134"", ""Purpose!A1:B1000""),2,FALSE()))"),"NA")</f>
        <v>NA</v>
      </c>
      <c r="K380" s="8" t="str">
        <f>IFERROR(__xludf.DUMMYFUNCTION("IF(ISBLANK(E380),""NA"", VLOOKUP(E380,IMPORTRANGE(""https://docs.google.com/spreadsheets/d/1EdCvim__xyxvoo9WoburDTzYylznTCOJBHcnu7eurMw/edit?gid=15948134#gid=15948134"", ""Technique!A1:B2000""),2,FALSE()))"),"NA")</f>
        <v>NA</v>
      </c>
      <c r="L380" s="8" t="str">
        <f>IFERROR(__xludf.DUMMYFUNCTION("IF(ISBLANK(D380),""NA"", VLOOKUP(D380,IMPORTRANGE(""https://docs.google.com/spreadsheets/d/1EdCvim__xyxvoo9WoburDTzYylznTCOJBHcnu7eurMw/edit?gid=15948134#gid=15948134"", ""Input!A1:B2000""),2,FALSE()))"),"NA")</f>
        <v>NA</v>
      </c>
    </row>
    <row r="381" hidden="1">
      <c r="A381" s="1" t="s">
        <v>1288</v>
      </c>
      <c r="B381" s="1" t="s">
        <v>515</v>
      </c>
      <c r="C381" s="1" t="s">
        <v>515</v>
      </c>
      <c r="H381" s="10"/>
      <c r="J381" s="8" t="str">
        <f>IFERROR(__xludf.DUMMYFUNCTION("IF(ISBLANK(F381),""NA"", VLOOKUP(F381,IMPORTRANGE(""https://docs.google.com/spreadsheets/d/1EdCvim__xyxvoo9WoburDTzYylznTCOJBHcnu7eurMw/edit?gid=15948134#gid=15948134"", ""Purpose!A1:B1000""),2,FALSE()))"),"NA")</f>
        <v>NA</v>
      </c>
      <c r="K381" s="8" t="str">
        <f>IFERROR(__xludf.DUMMYFUNCTION("IF(ISBLANK(E381),""NA"", VLOOKUP(E381,IMPORTRANGE(""https://docs.google.com/spreadsheets/d/1EdCvim__xyxvoo9WoburDTzYylznTCOJBHcnu7eurMw/edit?gid=15948134#gid=15948134"", ""Technique!A1:B2000""),2,FALSE()))"),"NA")</f>
        <v>NA</v>
      </c>
      <c r="L381" s="8" t="str">
        <f>IFERROR(__xludf.DUMMYFUNCTION("IF(ISBLANK(D381),""NA"", VLOOKUP(D381,IMPORTRANGE(""https://docs.google.com/spreadsheets/d/1EdCvim__xyxvoo9WoburDTzYylznTCOJBHcnu7eurMw/edit?gid=15948134#gid=15948134"", ""Input!A1:B2000""),2,FALSE()))"),"NA")</f>
        <v>NA</v>
      </c>
    </row>
    <row r="382" hidden="1">
      <c r="A382" s="1" t="s">
        <v>1289</v>
      </c>
      <c r="B382" s="1">
        <v>1.0</v>
      </c>
      <c r="C382" s="1" t="s">
        <v>1290</v>
      </c>
      <c r="E382" s="14" t="s">
        <v>1291</v>
      </c>
      <c r="F382" s="14" t="s">
        <v>585</v>
      </c>
      <c r="G382" s="1" t="s">
        <v>924</v>
      </c>
      <c r="H382" s="15" t="s">
        <v>1292</v>
      </c>
      <c r="J382" s="8" t="str">
        <f>IFERROR(__xludf.DUMMYFUNCTION("IF(ISBLANK(F382),""NA"", VLOOKUP(F382,IMPORTRANGE(""https://docs.google.com/spreadsheets/d/1EdCvim__xyxvoo9WoburDTzYylznTCOJBHcnu7eurMw/edit?gid=15948134#gid=15948134"", ""Purpose!A1:B1000""),2,FALSE()))"),"to be able to replicate/reproduce a study, research")</f>
        <v>to be able to replicate/reproduce a study, research</v>
      </c>
      <c r="K382" s="8" t="str">
        <f>IFERROR(__xludf.DUMMYFUNCTION("IF(ISBLANK(E382),""NA"", VLOOKUP(E382,IMPORTRANGE(""https://docs.google.com/spreadsheets/d/1EdCvim__xyxvoo9WoburDTzYylznTCOJBHcnu7eurMw/edit?gid=15948134#gid=15948134"", ""Technique!A1:B2000""),2,FALSE()))"),"publish replication package")</f>
        <v>publish replication package</v>
      </c>
      <c r="L382" s="8" t="str">
        <f>IFERROR(__xludf.DUMMYFUNCTION("IF(ISBLANK(D382),""NA"", VLOOKUP(D382,IMPORTRANGE(""https://docs.google.com/spreadsheets/d/1EdCvim__xyxvoo9WoburDTzYylznTCOJBHcnu7eurMw/edit?gid=15948134#gid=15948134"", ""Input!A1:B2000""),2,FALSE()))"),"NA")</f>
        <v>NA</v>
      </c>
    </row>
    <row r="383" hidden="1">
      <c r="A383" s="1" t="s">
        <v>1289</v>
      </c>
      <c r="B383" s="1">
        <v>2.0</v>
      </c>
      <c r="C383" s="1" t="s">
        <v>1293</v>
      </c>
      <c r="E383" s="16" t="s">
        <v>1294</v>
      </c>
      <c r="F383" s="14" t="s">
        <v>1295</v>
      </c>
      <c r="G383" s="1" t="s">
        <v>54</v>
      </c>
      <c r="H383" s="15" t="s">
        <v>1292</v>
      </c>
      <c r="J383" s="8" t="str">
        <f>IFERROR(__xludf.DUMMYFUNCTION("IF(ISBLANK(F383),""NA"", VLOOKUP(F383,IMPORTRANGE(""https://docs.google.com/spreadsheets/d/1EdCvim__xyxvoo9WoburDTzYylznTCOJBHcnu7eurMw/edit?gid=15948134#gid=15948134"", ""Purpose!A1:B1000""),2,FALSE()))"),"to train a model for detection tasks (i.e., conditions of mispredictions)")</f>
        <v>to train a model for detection tasks (i.e., conditions of mispredictions)</v>
      </c>
      <c r="K383" s="8" t="str">
        <f>IFERROR(__xludf.DUMMYFUNCTION("IF(ISBLANK(E383),""NA"", VLOOKUP(E383,IMPORTRANGE(""https://docs.google.com/spreadsheets/d/1EdCvim__xyxvoo9WoburDTzYylznTCOJBHcnu7eurMw/edit?gid=15948134#gid=15948134"", ""Technique!A1:B2000""),2,FALSE()))"),"use rule learning algorithm")</f>
        <v>use rule learning algorithm</v>
      </c>
      <c r="L383" s="8" t="str">
        <f>IFERROR(__xludf.DUMMYFUNCTION("IF(ISBLANK(D383),""NA"", VLOOKUP(D383,IMPORTRANGE(""https://docs.google.com/spreadsheets/d/1EdCvim__xyxvoo9WoburDTzYylznTCOJBHcnu7eurMw/edit?gid=15948134#gid=15948134"", ""Input!A1:B2000""),2,FALSE()))"),"NA")</f>
        <v>NA</v>
      </c>
    </row>
    <row r="384" hidden="1">
      <c r="A384" s="1" t="s">
        <v>1289</v>
      </c>
      <c r="B384" s="1">
        <v>3.0</v>
      </c>
      <c r="C384" s="1" t="s">
        <v>1296</v>
      </c>
      <c r="E384" s="14" t="s">
        <v>1297</v>
      </c>
      <c r="F384" s="14" t="s">
        <v>364</v>
      </c>
      <c r="G384" s="1" t="s">
        <v>39</v>
      </c>
      <c r="H384" s="15" t="s">
        <v>1292</v>
      </c>
      <c r="J384" s="8" t="str">
        <f>IFERROR(__xludf.DUMMYFUNCTION("IF(ISBLANK(F384),""NA"", VLOOKUP(F384,IMPORTRANGE(""https://docs.google.com/spreadsheets/d/1EdCvim__xyxvoo9WoburDTzYylznTCOJBHcnu7eurMw/edit?gid=15948134#gid=15948134"", ""Purpose!A1:B1000""),2,FALSE()))"),"to evaluate model(s) functionally (e.g., accuracy) against others")</f>
        <v>to evaluate model(s) functionally (e.g., accuracy) against others</v>
      </c>
      <c r="K384" s="8" t="str">
        <f>IFERROR(__xludf.DUMMYFUNCTION("IF(ISBLANK(E384),""NA"", VLOOKUP(E384,IMPORTRANGE(""https://docs.google.com/spreadsheets/d/1EdCvim__xyxvoo9WoburDTzYylznTCOJBHcnu7eurMw/edit?gid=15948134#gid=15948134"", ""Technique!A1:B2000""),2,FALSE()))"),"compare with baseline model(s), state-of-the-art baselines shallow learning (STUCCO, RIPPER)")</f>
        <v>compare with baseline model(s), state-of-the-art baselines shallow learning (STUCCO, RIPPER)</v>
      </c>
      <c r="L384" s="8" t="str">
        <f>IFERROR(__xludf.DUMMYFUNCTION("IF(ISBLANK(D384),""NA"", VLOOKUP(D384,IMPORTRANGE(""https://docs.google.com/spreadsheets/d/1EdCvim__xyxvoo9WoburDTzYylznTCOJBHcnu7eurMw/edit?gid=15948134#gid=15948134"", ""Input!A1:B2000""),2,FALSE()))"),"NA")</f>
        <v>NA</v>
      </c>
    </row>
    <row r="385" hidden="1">
      <c r="A385" s="1" t="s">
        <v>1289</v>
      </c>
      <c r="B385" s="1">
        <v>4.0</v>
      </c>
      <c r="C385" s="1" t="s">
        <v>1298</v>
      </c>
      <c r="E385" s="14" t="s">
        <v>357</v>
      </c>
      <c r="F385" s="14" t="s">
        <v>358</v>
      </c>
      <c r="G385" s="1" t="s">
        <v>39</v>
      </c>
      <c r="H385" s="15" t="s">
        <v>1292</v>
      </c>
      <c r="J385" s="8" t="str">
        <f>IFERROR(__xludf.DUMMYFUNCTION("IF(ISBLANK(F385),""NA"", VLOOKUP(F385,IMPORTRANGE(""https://docs.google.com/spreadsheets/d/1EdCvim__xyxvoo9WoburDTzYylznTCOJBHcnu7eurMw/edit?gid=15948134#gid=15948134"", ""Purpose!A1:B1000""),2,FALSE()))"),"to evaluate model(s) functionally (e.g., accuracy)")</f>
        <v>to evaluate model(s) functionally (e.g., accuracy)</v>
      </c>
      <c r="K385" s="8" t="str">
        <f>IFERROR(__xludf.DUMMYFUNCTION("IF(ISBLANK(E385),""NA"", VLOOKUP(E385,IMPORTRANGE(""https://docs.google.com/spreadsheets/d/1EdCvim__xyxvoo9WoburDTzYylznTCOJBHcnu7eurMw/edit?gid=15948134#gid=15948134"", ""Technique!A1:B2000""),2,FALSE()))"),"use existing benchmarks")</f>
        <v>use existing benchmarks</v>
      </c>
      <c r="L385" s="8" t="str">
        <f>IFERROR(__xludf.DUMMYFUNCTION("IF(ISBLANK(D385),""NA"", VLOOKUP(D385,IMPORTRANGE(""https://docs.google.com/spreadsheets/d/1EdCvim__xyxvoo9WoburDTzYylznTCOJBHcnu7eurMw/edit?gid=15948134#gid=15948134"", ""Input!A1:B2000""),2,FALSE()))"),"NA")</f>
        <v>NA</v>
      </c>
    </row>
    <row r="386" hidden="1">
      <c r="A386" s="1" t="s">
        <v>1289</v>
      </c>
      <c r="B386" s="1">
        <v>5.0</v>
      </c>
      <c r="C386" s="1" t="s">
        <v>1299</v>
      </c>
      <c r="E386" s="14" t="s">
        <v>934</v>
      </c>
      <c r="F386" s="14" t="s">
        <v>358</v>
      </c>
      <c r="G386" s="1" t="s">
        <v>39</v>
      </c>
      <c r="H386" s="15" t="s">
        <v>1292</v>
      </c>
      <c r="J386" s="8" t="str">
        <f>IFERROR(__xludf.DUMMYFUNCTION("IF(ISBLANK(F386),""NA"", VLOOKUP(F386,IMPORTRANGE(""https://docs.google.com/spreadsheets/d/1EdCvim__xyxvoo9WoburDTzYylznTCOJBHcnu7eurMw/edit?gid=15948134#gid=15948134"", ""Purpose!A1:B1000""),2,FALSE()))"),"to evaluate model(s) functionally (e.g., accuracy)")</f>
        <v>to evaluate model(s) functionally (e.g., accuracy)</v>
      </c>
      <c r="K386" s="8" t="str">
        <f>IFERROR(__xludf.DUMMYFUNCTION("IF(ISBLANK(E386),""NA"", VLOOKUP(E386,IMPORTRANGE(""https://docs.google.com/spreadsheets/d/1EdCvim__xyxvoo9WoburDTzYylznTCOJBHcnu7eurMw/edit?gid=15948134#gid=15948134"", ""Technique!A1:B2000""),2,FALSE()))"),"compute classical metrics (i.e., Precision, Recall)")</f>
        <v>compute classical metrics (i.e., Precision, Recall)</v>
      </c>
      <c r="L386" s="8" t="str">
        <f>IFERROR(__xludf.DUMMYFUNCTION("IF(ISBLANK(D386),""NA"", VLOOKUP(D386,IMPORTRANGE(""https://docs.google.com/spreadsheets/d/1EdCvim__xyxvoo9WoburDTzYylznTCOJBHcnu7eurMw/edit?gid=15948134#gid=15948134"", ""Input!A1:B2000""),2,FALSE()))"),"NA")</f>
        <v>NA</v>
      </c>
    </row>
    <row r="387" hidden="1">
      <c r="A387" s="14" t="s">
        <v>1300</v>
      </c>
      <c r="B387" s="1" t="s">
        <v>1241</v>
      </c>
      <c r="C387" s="1" t="s">
        <v>1301</v>
      </c>
      <c r="D387" s="1" t="s">
        <v>1302</v>
      </c>
      <c r="E387" s="14" t="s">
        <v>1303</v>
      </c>
      <c r="F387" s="14" t="s">
        <v>1304</v>
      </c>
      <c r="G387" s="1" t="s">
        <v>44</v>
      </c>
      <c r="H387" s="15" t="s">
        <v>1305</v>
      </c>
      <c r="J387" s="8" t="str">
        <f>IFERROR(__xludf.DUMMYFUNCTION("IF(ISBLANK(F387),""NA"", VLOOKUP(F387,IMPORTRANGE(""https://docs.google.com/spreadsheets/d/1EdCvim__xyxvoo9WoburDTzYylznTCOJBHcnu7eurMw/edit?gid=15948134#gid=15948134"", ""Purpose!A1:B1000""),2,FALSE()))"),"to collect data, code data")</f>
        <v>to collect data, code data</v>
      </c>
      <c r="K387" s="8" t="str">
        <f>IFERROR(__xludf.DUMMYFUNCTION("IF(ISBLANK(E387),""NA"", VLOOKUP(E387,IMPORTRANGE(""https://docs.google.com/spreadsheets/d/1EdCvim__xyxvoo9WoburDTzYylznTCOJBHcnu7eurMw/edit?gid=15948134#gid=15948134"", ""Technique!A1:B2000""),2,FALSE()))"),"use a crawler, gerrit crawler")</f>
        <v>use a crawler, gerrit crawler</v>
      </c>
      <c r="L387" s="8" t="str">
        <f>IFERROR(__xludf.DUMMYFUNCTION("IF(ISBLANK(D387),""NA"", VLOOKUP(D387,IMPORTRANGE(""https://docs.google.com/spreadsheets/d/1EdCvim__xyxvoo9WoburDTzYylznTCOJBHcnu7eurMw/edit?gid=15948134#gid=15948134"", ""Input!A1:B2000""),2,FALSE()))"),"textual data (Pull requests)")</f>
        <v>textual data (Pull requests)</v>
      </c>
    </row>
    <row r="388" hidden="1">
      <c r="A388" s="14" t="s">
        <v>1300</v>
      </c>
      <c r="B388" s="1" t="s">
        <v>1247</v>
      </c>
      <c r="C388" s="1" t="s">
        <v>1306</v>
      </c>
      <c r="D388" s="1" t="s">
        <v>1302</v>
      </c>
      <c r="E388" s="16" t="s">
        <v>1307</v>
      </c>
      <c r="F388" s="14" t="s">
        <v>1308</v>
      </c>
      <c r="G388" s="1" t="s">
        <v>20</v>
      </c>
      <c r="H388" s="15" t="s">
        <v>1305</v>
      </c>
      <c r="J388" s="8" t="str">
        <f>IFERROR(__xludf.DUMMYFUNCTION("IF(ISBLANK(F388),""NA"", VLOOKUP(F388,IMPORTRANGE(""https://docs.google.com/spreadsheets/d/1EdCvim__xyxvoo9WoburDTzYylznTCOJBHcnu7eurMw/edit?gid=15948134#gid=15948134"", ""Purpose!A1:B1000""),2,FALSE()))"),"to extract specific code data (i.e., methods)")</f>
        <v>to extract specific code data (i.e., methods)</v>
      </c>
      <c r="K388" s="8" t="str">
        <f>IFERROR(__xludf.DUMMYFUNCTION("IF(ISBLANK(E388),""NA"", VLOOKUP(E388,IMPORTRANGE(""https://docs.google.com/spreadsheets/d/1EdCvim__xyxvoo9WoburDTzYylznTCOJBHcnu7eurMw/edit?gid=15948134#gid=15948134"", ""Technique!A1:B2000""),2,FALSE()))"),"use GumTreeDiff pre- post-PR")</f>
        <v>use GumTreeDiff pre- post-PR</v>
      </c>
      <c r="L388" s="8" t="str">
        <f>IFERROR(__xludf.DUMMYFUNCTION("IF(ISBLANK(D388),""NA"", VLOOKUP(D388,IMPORTRANGE(""https://docs.google.com/spreadsheets/d/1EdCvim__xyxvoo9WoburDTzYylznTCOJBHcnu7eurMw/edit?gid=15948134#gid=15948134"", ""Input!A1:B2000""),2,FALSE()))"),"textual data (Pull requests)")</f>
        <v>textual data (Pull requests)</v>
      </c>
    </row>
    <row r="389" hidden="1">
      <c r="A389" s="14" t="s">
        <v>1300</v>
      </c>
      <c r="B389" s="1" t="s">
        <v>1309</v>
      </c>
      <c r="C389" s="1" t="s">
        <v>1310</v>
      </c>
      <c r="D389" s="1" t="s">
        <v>1311</v>
      </c>
      <c r="E389" s="16" t="s">
        <v>1312</v>
      </c>
      <c r="F389" s="14" t="s">
        <v>1313</v>
      </c>
      <c r="G389" s="1" t="s">
        <v>20</v>
      </c>
      <c r="H389" s="15" t="s">
        <v>1305</v>
      </c>
      <c r="J389" s="8" t="str">
        <f>IFERROR(__xludf.DUMMYFUNCTION("IF(ISBLANK(F389),""NA"", VLOOKUP(F389,IMPORTRANGE(""https://docs.google.com/spreadsheets/d/1EdCvim__xyxvoo9WoburDTzYylznTCOJBHcnu7eurMw/edit?gid=15948134#gid=15948134"", ""Purpose!A1:B1000""),2,FALSE()))"),"to reduce the size of the vocabulary while retaining semantic information")</f>
        <v>to reduce the size of the vocabulary while retaining semantic information</v>
      </c>
      <c r="K389" s="8" t="str">
        <f>IFERROR(__xludf.DUMMYFUNCTION("IF(ISBLANK(E389),""NA"", VLOOKUP(E389,IMPORTRANGE(""https://docs.google.com/spreadsheets/d/1EdCvim__xyxvoo9WoburDTzYylznTCOJBHcnu7eurMw/edit?gid=15948134#gid=15948134"", ""Technique!A1:B2000""),2,FALSE()))"),"filter identifiers based on frequency (i.e., keep top N) + replace special terms (i.e., identifiers) with sentinal tokens")</f>
        <v>filter identifiers based on frequency (i.e., keep top N) + replace special terms (i.e., identifiers) with sentinal tokens</v>
      </c>
      <c r="L389" s="8" t="str">
        <f>IFERROR(__xludf.DUMMYFUNCTION("IF(ISBLANK(D389),""NA"", VLOOKUP(D389,IMPORTRANGE(""https://docs.google.com/spreadsheets/d/1EdCvim__xyxvoo9WoburDTzYylznTCOJBHcnu7eurMw/edit?gid=15948134#gid=15948134"", ""Input!A1:B2000""),2,FALSE()))"),"code data (method before and after PR)")</f>
        <v>code data (method before and after PR)</v>
      </c>
    </row>
    <row r="390" hidden="1">
      <c r="A390" s="14" t="s">
        <v>1300</v>
      </c>
      <c r="B390" s="1">
        <v>4.0</v>
      </c>
      <c r="C390" s="1" t="s">
        <v>1310</v>
      </c>
      <c r="D390" s="1" t="s">
        <v>1311</v>
      </c>
      <c r="E390" s="16" t="s">
        <v>1314</v>
      </c>
      <c r="F390" s="14" t="s">
        <v>1315</v>
      </c>
      <c r="G390" s="1" t="s">
        <v>20</v>
      </c>
      <c r="H390" s="15" t="s">
        <v>1305</v>
      </c>
      <c r="J390" s="8" t="str">
        <f>IFERROR(__xludf.DUMMYFUNCTION("IF(ISBLANK(F390),""NA"", VLOOKUP(F390,IMPORTRANGE(""https://docs.google.com/spreadsheets/d/1EdCvim__xyxvoo9WoburDTzYylznTCOJBHcnu7eurMw/edit?gid=15948134#gid=15948134"", ""Purpose!A1:B1000""),2,FALSE()))"),"to drop data that does not contribute to the model")</f>
        <v>to drop data that does not contribute to the model</v>
      </c>
      <c r="K390" s="8" t="str">
        <f>IFERROR(__xludf.DUMMYFUNCTION("IF(ISBLANK(E390),""NA"", VLOOKUP(E390,IMPORTRANGE(""https://docs.google.com/spreadsheets/d/1EdCvim__xyxvoo9WoburDTzYylznTCOJBHcnu7eurMw/edit?gid=15948134#gid=15948134"", ""Technique!A1:B2000""),2,FALSE()))"),"filter out abstraction of methods that do not change due to a PR, or have tokens that cannot be generated by the model")</f>
        <v>filter out abstraction of methods that do not change due to a PR, or have tokens that cannot be generated by the model</v>
      </c>
      <c r="L390" s="8" t="str">
        <f>IFERROR(__xludf.DUMMYFUNCTION("IF(ISBLANK(D390),""NA"", VLOOKUP(D390,IMPORTRANGE(""https://docs.google.com/spreadsheets/d/1EdCvim__xyxvoo9WoburDTzYylznTCOJBHcnu7eurMw/edit?gid=15948134#gid=15948134"", ""Input!A1:B2000""),2,FALSE()))"),"code data (method before and after PR)")</f>
        <v>code data (method before and after PR)</v>
      </c>
    </row>
    <row r="391" hidden="1">
      <c r="A391" s="14" t="s">
        <v>1300</v>
      </c>
      <c r="B391" s="1">
        <v>5.0</v>
      </c>
      <c r="C391" s="1" t="s">
        <v>1310</v>
      </c>
      <c r="D391" s="1" t="s">
        <v>1311</v>
      </c>
      <c r="E391" s="16" t="s">
        <v>1316</v>
      </c>
      <c r="F391" s="14" t="s">
        <v>1317</v>
      </c>
      <c r="G391" s="1" t="s">
        <v>20</v>
      </c>
      <c r="H391" s="15" t="s">
        <v>1305</v>
      </c>
      <c r="J391" s="8" t="str">
        <f>IFERROR(__xludf.DUMMYFUNCTION("IF(ISBLANK(F391),""NA"", VLOOKUP(F391,IMPORTRANGE(""https://docs.google.com/spreadsheets/d/1EdCvim__xyxvoo9WoburDTzYylznTCOJBHcnu7eurMw/edit?gid=15948134#gid=15948134"", ""Purpose!A1:B1000""),2,FALSE()))"),"to split the data into different sets + to remove the noise in data")</f>
        <v>to split the data into different sets + to remove the noise in data</v>
      </c>
      <c r="K391" s="8" t="str">
        <f>IFERROR(__xludf.DUMMYFUNCTION("IF(ISBLANK(E391),""NA"", VLOOKUP(E391,IMPORTRANGE(""https://docs.google.com/spreadsheets/d/1EdCvim__xyxvoo9WoburDTzYylznTCOJBHcnu7eurMw/edit?gid=15948134#gid=15948134"", ""Technique!A1:B2000""),2,FALSE()))"),"data deduplication + split data into train, validation and test")</f>
        <v>data deduplication + split data into train, validation and test</v>
      </c>
      <c r="L391" s="8" t="str">
        <f>IFERROR(__xludf.DUMMYFUNCTION("IF(ISBLANK(D391),""NA"", VLOOKUP(D391,IMPORTRANGE(""https://docs.google.com/spreadsheets/d/1EdCvim__xyxvoo9WoburDTzYylznTCOJBHcnu7eurMw/edit?gid=15948134#gid=15948134"", ""Input!A1:B2000""),2,FALSE()))"),"code data (method before and after PR)")</f>
        <v>code data (method before and after PR)</v>
      </c>
    </row>
    <row r="392" hidden="1">
      <c r="A392" s="14" t="s">
        <v>1300</v>
      </c>
      <c r="B392" s="1" t="s">
        <v>1131</v>
      </c>
      <c r="C392" s="1" t="s">
        <v>1318</v>
      </c>
      <c r="D392" s="1" t="s">
        <v>1319</v>
      </c>
      <c r="E392" s="16" t="s">
        <v>1320</v>
      </c>
      <c r="G392" s="1" t="s">
        <v>54</v>
      </c>
      <c r="H392" s="15" t="s">
        <v>1305</v>
      </c>
      <c r="J392" s="8" t="str">
        <f>IFERROR(__xludf.DUMMYFUNCTION("IF(ISBLANK(F392),""NA"", VLOOKUP(F392,IMPORTRANGE(""https://docs.google.com/spreadsheets/d/1EdCvim__xyxvoo9WoburDTzYylznTCOJBHcnu7eurMw/edit?gid=15948134#gid=15948134"", ""Purpose!A1:B1000""),2,FALSE()))"),"NA")</f>
        <v>NA</v>
      </c>
      <c r="K392" s="8" t="str">
        <f>IFERROR(__xludf.DUMMYFUNCTION("IF(ISBLANK(E392),""NA"", VLOOKUP(E392,IMPORTRANGE(""https://docs.google.com/spreadsheets/d/1EdCvim__xyxvoo9WoburDTzYylznTCOJBHcnu7eurMw/edit?gid=15948134#gid=15948134"", ""Technique!A1:B2000""),2,FALSE()))"),"use recurrent neural networks with attention mechanisms and beam search")</f>
        <v>use recurrent neural networks with attention mechanisms and beam search</v>
      </c>
      <c r="L392" s="8" t="str">
        <f>IFERROR(__xludf.DUMMYFUNCTION("IF(ISBLANK(D392),""NA"", VLOOKUP(D392,IMPORTRANGE(""https://docs.google.com/spreadsheets/d/1EdCvim__xyxvoo9WoburDTzYylznTCOJBHcnu7eurMw/edit?gid=15948134#gid=15948134"", ""Input!A1:B2000""),2,FALSE()))"),"model(s)")</f>
        <v>model(s)</v>
      </c>
    </row>
    <row r="393" hidden="1">
      <c r="A393" s="14" t="s">
        <v>1300</v>
      </c>
      <c r="B393" s="1">
        <v>7.0</v>
      </c>
      <c r="C393" s="1" t="s">
        <v>1318</v>
      </c>
      <c r="D393" s="1" t="s">
        <v>1319</v>
      </c>
      <c r="E393" s="16" t="s">
        <v>1321</v>
      </c>
      <c r="F393" s="14" t="s">
        <v>1322</v>
      </c>
      <c r="G393" s="1" t="s">
        <v>54</v>
      </c>
      <c r="H393" s="15" t="s">
        <v>1305</v>
      </c>
      <c r="J393" s="8" t="str">
        <f>IFERROR(__xludf.DUMMYFUNCTION("IF(ISBLANK(F393),""NA"", VLOOKUP(F393,IMPORTRANGE(""https://docs.google.com/spreadsheets/d/1EdCvim__xyxvoo9WoburDTzYylznTCOJBHcnu7eurMw/edit?gid=15948134#gid=15948134"", ""Purpose!A1:B1000""),2,FALSE()))"),"to optimize model(s)")</f>
        <v>to optimize model(s)</v>
      </c>
      <c r="K393" s="8" t="str">
        <f>IFERROR(__xludf.DUMMYFUNCTION("IF(ISBLANK(E393),""NA"", VLOOKUP(E393,IMPORTRANGE(""https://docs.google.com/spreadsheets/d/1EdCvim__xyxvoo9WoburDTzYylznTCOJBHcnu7eurMw/edit?gid=15948134#gid=15948134"", ""Technique!A1:B2000""),2,FALSE()))"),"hyperparameter tuning")</f>
        <v>hyperparameter tuning</v>
      </c>
      <c r="L393" s="8" t="str">
        <f>IFERROR(__xludf.DUMMYFUNCTION("IF(ISBLANK(D393),""NA"", VLOOKUP(D393,IMPORTRANGE(""https://docs.google.com/spreadsheets/d/1EdCvim__xyxvoo9WoburDTzYylznTCOJBHcnu7eurMw/edit?gid=15948134#gid=15948134"", ""Input!A1:B2000""),2,FALSE()))"),"model(s)")</f>
        <v>model(s)</v>
      </c>
    </row>
    <row r="394" hidden="1">
      <c r="A394" s="14" t="s">
        <v>1300</v>
      </c>
      <c r="B394" s="1">
        <v>8.0</v>
      </c>
      <c r="C394" s="1" t="s">
        <v>1323</v>
      </c>
      <c r="D394" s="1" t="s">
        <v>1324</v>
      </c>
      <c r="E394" s="14" t="s">
        <v>1325</v>
      </c>
      <c r="F394" s="14" t="s">
        <v>1326</v>
      </c>
      <c r="G394" s="1" t="s">
        <v>39</v>
      </c>
      <c r="H394" s="15" t="s">
        <v>1305</v>
      </c>
      <c r="J394" s="8" t="str">
        <f>IFERROR(__xludf.DUMMYFUNCTION("IF(ISBLANK(F394),""NA"", VLOOKUP(F394,IMPORTRANGE(""https://docs.google.com/spreadsheets/d/1EdCvim__xyxvoo9WoburDTzYylznTCOJBHcnu7eurMw/edit?gid=15948134#gid=15948134"", ""Purpose!A1:B1000""),2,FALSE()))"),"to evaluate model(s) functionally (e.g., accuracy)")</f>
        <v>to evaluate model(s) functionally (e.g., accuracy)</v>
      </c>
      <c r="K394" s="8" t="str">
        <f>IFERROR(__xludf.DUMMYFUNCTION("IF(ISBLANK(E394),""NA"", VLOOKUP(E394,IMPORTRANGE(""https://docs.google.com/spreadsheets/d/1EdCvim__xyxvoo9WoburDTzYylznTCOJBHcnu7eurMw/edit?gid=15948134#gid=15948134"", ""Technique!A1:B2000""),2,FALSE()))"),"compute metrics (i.e., percentage of successfully predicted code transformations)")</f>
        <v>compute metrics (i.e., percentage of successfully predicted code transformations)</v>
      </c>
      <c r="L394" s="8" t="str">
        <f>IFERROR(__xludf.DUMMYFUNCTION("IF(ISBLANK(D394),""NA"", VLOOKUP(D394,IMPORTRANGE(""https://docs.google.com/spreadsheets/d/1EdCvim__xyxvoo9WoburDTzYylznTCOJBHcnu7eurMw/edit?gid=15948134#gid=15948134"", ""Input!A1:B2000""),2,FALSE()))"),"code data (method before and after PR) + encoder-decoder model(s)")</f>
        <v>code data (method before and after PR) + encoder-decoder model(s)</v>
      </c>
    </row>
    <row r="395" hidden="1">
      <c r="A395" s="1" t="s">
        <v>1327</v>
      </c>
      <c r="B395" s="1" t="s">
        <v>1328</v>
      </c>
      <c r="C395" s="1" t="s">
        <v>1329</v>
      </c>
      <c r="D395" s="1" t="s">
        <v>1330</v>
      </c>
      <c r="E395" s="1" t="s">
        <v>1331</v>
      </c>
      <c r="F395" s="14" t="s">
        <v>1332</v>
      </c>
      <c r="G395" s="1" t="s">
        <v>14</v>
      </c>
      <c r="H395" s="15" t="s">
        <v>1333</v>
      </c>
      <c r="J395" s="8" t="str">
        <f>IFERROR(__xludf.DUMMYFUNCTION("IF(ISBLANK(F395),""NA"", VLOOKUP(F395,IMPORTRANGE(""https://docs.google.com/spreadsheets/d/1EdCvim__xyxvoo9WoburDTzYylznTCOJBHcnu7eurMw/edit?gid=15948134#gid=15948134"", ""Purpose!A1:B1000""),2,FALSE()))"),"to collect data, how different tasks relate to each other")</f>
        <v>to collect data, how different tasks relate to each other</v>
      </c>
      <c r="K395" s="8" t="str">
        <f>IFERROR(__xludf.DUMMYFUNCTION("IF(ISBLANK(E395),""NA"", VLOOKUP(E395,IMPORTRANGE(""https://docs.google.com/spreadsheets/d/1EdCvim__xyxvoo9WoburDTzYylznTCOJBHcnu7eurMw/edit?gid=15948134#gid=15948134"", ""Technique!A1:B2000""),2,FALSE()))"),"build relations between task using explicit and implicit relations")</f>
        <v>build relations between task using explicit and implicit relations</v>
      </c>
      <c r="L395" s="8" t="str">
        <f>IFERROR(__xludf.DUMMYFUNCTION("IF(ISBLANK(D395),""NA"", VLOOKUP(D395,IMPORTRANGE(""https://docs.google.com/spreadsheets/d/1EdCvim__xyxvoo9WoburDTzYylznTCOJBHcnu7eurMw/edit?gid=15948134#gid=15948134"", ""Input!A1:B2000""),2,FALSE()))"),"textual data (description of software tasks)")</f>
        <v>textual data (description of software tasks)</v>
      </c>
    </row>
    <row r="396" hidden="1">
      <c r="A396" s="1" t="s">
        <v>1327</v>
      </c>
      <c r="B396" s="1" t="s">
        <v>1334</v>
      </c>
      <c r="C396" s="1" t="s">
        <v>1329</v>
      </c>
      <c r="D396" s="1" t="s">
        <v>1335</v>
      </c>
      <c r="E396" s="15" t="s">
        <v>1336</v>
      </c>
      <c r="F396" s="14" t="s">
        <v>1337</v>
      </c>
      <c r="G396" s="1" t="s">
        <v>54</v>
      </c>
      <c r="H396" s="15" t="s">
        <v>1333</v>
      </c>
      <c r="J396" s="8" t="str">
        <f>IFERROR(__xludf.DUMMYFUNCTION("IF(ISBLANK(F396),""NA"", VLOOKUP(F396,IMPORTRANGE(""https://docs.google.com/spreadsheets/d/1EdCvim__xyxvoo9WoburDTzYylznTCOJBHcnu7eurMw/edit?gid=15948134#gid=15948134"", ""Purpose!A1:B1000""),2,FALSE()))"),"to train a model that treats data points independently")</f>
        <v>to train a model that treats data points independently</v>
      </c>
      <c r="K396" s="8" t="str">
        <f>IFERROR(__xludf.DUMMYFUNCTION("IF(ISBLANK(E396),""NA"", VLOOKUP(E396,IMPORTRANGE(""https://docs.google.com/spreadsheets/d/1EdCvim__xyxvoo9WoburDTzYylznTCOJBHcnu7eurMw/edit?gid=15948134#gid=15948134"", ""Technique!A1:B2000""),2,FALSE()))"),"use random forest + use support vector machines")</f>
        <v>use random forest + use support vector machines</v>
      </c>
      <c r="L396" s="8" t="str">
        <f>IFERROR(__xludf.DUMMYFUNCTION("IF(ISBLANK(D396),""NA"", VLOOKUP(D396,IMPORTRANGE(""https://docs.google.com/spreadsheets/d/1EdCvim__xyxvoo9WoburDTzYylznTCOJBHcnu7eurMw/edit?gid=15948134#gid=15948134"", ""Input!A1:B2000""),2,FALSE()))"),"textual data (description of software tasks)")</f>
        <v>textual data (description of software tasks)</v>
      </c>
    </row>
    <row r="397" hidden="1">
      <c r="A397" s="1" t="s">
        <v>1327</v>
      </c>
      <c r="B397" s="1">
        <v>4.0</v>
      </c>
      <c r="C397" s="1" t="s">
        <v>1338</v>
      </c>
      <c r="D397" s="1" t="s">
        <v>1339</v>
      </c>
      <c r="E397" s="15" t="s">
        <v>1340</v>
      </c>
      <c r="F397" s="14" t="s">
        <v>1341</v>
      </c>
      <c r="G397" s="1" t="s">
        <v>54</v>
      </c>
      <c r="H397" s="20" t="s">
        <v>1333</v>
      </c>
      <c r="J397" s="8" t="str">
        <f>IFERROR(__xludf.DUMMYFUNCTION("IF(ISBLANK(F397),""NA"", VLOOKUP(F397,IMPORTRANGE(""https://docs.google.com/spreadsheets/d/1EdCvim__xyxvoo9WoburDTzYylznTCOJBHcnu7eurMw/edit?gid=15948134#gid=15948134"", ""Purpose!A1:B1000""),2,FALSE()))"),"to use the information about the related data points to estimate probability")</f>
        <v>to use the information about the related data points to estimate probability</v>
      </c>
      <c r="K397" s="8" t="str">
        <f>IFERROR(__xludf.DUMMYFUNCTION("IF(ISBLANK(E397),""NA"", VLOOKUP(E397,IMPORTRANGE(""https://docs.google.com/spreadsheets/d/1EdCvim__xyxvoo9WoburDTzYylznTCOJBHcnu7eurMw/edit?gid=15948134#gid=15948134"", ""Technique!A1:B2000""),2,FALSE()))"),"use Weighted-Vote Relational Neighbor + use Stacked Graphical Learning")</f>
        <v>use Weighted-Vote Relational Neighbor + use Stacked Graphical Learning</v>
      </c>
      <c r="L397" s="8" t="str">
        <f>IFERROR(__xludf.DUMMYFUNCTION("IF(ISBLANK(D397),""NA"", VLOOKUP(D397,IMPORTRANGE(""https://docs.google.com/spreadsheets/d/1EdCvim__xyxvoo9WoburDTzYylznTCOJBHcnu7eurMw/edit?gid=15948134#gid=15948134"", ""Input!A1:B2000""),2,FALSE()))"),"numeric data (attributes associated to a development task) + graph representation (tasks network)")</f>
        <v>numeric data (attributes associated to a development task) + graph representation (tasks network)</v>
      </c>
    </row>
    <row r="398" hidden="1">
      <c r="A398" s="1" t="s">
        <v>1327</v>
      </c>
      <c r="B398" s="1">
        <v>11.0</v>
      </c>
      <c r="C398" s="1" t="s">
        <v>1342</v>
      </c>
      <c r="E398" s="1" t="s">
        <v>1343</v>
      </c>
      <c r="F398" s="14" t="s">
        <v>1344</v>
      </c>
      <c r="G398" s="1" t="s">
        <v>44</v>
      </c>
      <c r="H398" s="15" t="s">
        <v>1333</v>
      </c>
      <c r="J398" s="8" t="str">
        <f>IFERROR(__xludf.DUMMYFUNCTION("IF(ISBLANK(F398),""NA"", VLOOKUP(F398,IMPORTRANGE(""https://docs.google.com/spreadsheets/d/1EdCvim__xyxvoo9WoburDTzYylznTCOJBHcnu7eurMw/edit?gid=15948134#gid=15948134"", ""Purpose!A1:B1000""),2,FALSE()))"),"to collect data")</f>
        <v>to collect data</v>
      </c>
      <c r="K398" s="8" t="str">
        <f>IFERROR(__xludf.DUMMYFUNCTION("IF(ISBLANK(E398),""NA"", VLOOKUP(E398,IMPORTRANGE(""https://docs.google.com/spreadsheets/d/1EdCvim__xyxvoo9WoburDTzYylznTCOJBHcnu7eurMw/edit?gid=15948134#gid=15948134"", ""Technique!A1:B2000""),2,FALSE()))"),"use repositories (e.g., github) + developers tools (e.g., issue trackers)")</f>
        <v>use repositories (e.g., github) + developers tools (e.g., issue trackers)</v>
      </c>
      <c r="L398" s="8" t="str">
        <f>IFERROR(__xludf.DUMMYFUNCTION("IF(ISBLANK(D398),""NA"", VLOOKUP(D398,IMPORTRANGE(""https://docs.google.com/spreadsheets/d/1EdCvim__xyxvoo9WoburDTzYylznTCOJBHcnu7eurMw/edit?gid=15948134#gid=15948134"", ""Input!A1:B2000""),2,FALSE()))"),"NA")</f>
        <v>NA</v>
      </c>
    </row>
    <row r="399" hidden="1">
      <c r="A399" s="1" t="s">
        <v>1327</v>
      </c>
      <c r="B399" s="1" t="s">
        <v>1345</v>
      </c>
      <c r="C399" s="1" t="s">
        <v>1346</v>
      </c>
      <c r="D399" s="1" t="s">
        <v>1347</v>
      </c>
      <c r="E399" s="15" t="s">
        <v>1348</v>
      </c>
      <c r="F399" s="14" t="s">
        <v>1349</v>
      </c>
      <c r="G399" s="1" t="s">
        <v>20</v>
      </c>
      <c r="H399" s="15" t="s">
        <v>1333</v>
      </c>
      <c r="J399" s="8" t="str">
        <f>IFERROR(__xludf.DUMMYFUNCTION("IF(ISBLANK(F399),""NA"", VLOOKUP(F399,IMPORTRANGE(""https://docs.google.com/spreadsheets/d/1EdCvim__xyxvoo9WoburDTzYylznTCOJBHcnu7eurMw/edit?gid=15948134#gid=15948134"", ""Purpose!A1:B1000""),2,FALSE()))"),"to split the data into different sets mantaining similar ratio to population")</f>
        <v>to split the data into different sets mantaining similar ratio to population</v>
      </c>
      <c r="K399" s="8" t="str">
        <f>IFERROR(__xludf.DUMMYFUNCTION("IF(ISBLANK(E399),""NA"", VLOOKUP(E399,IMPORTRANGE(""https://docs.google.com/spreadsheets/d/1EdCvim__xyxvoo9WoburDTzYylznTCOJBHcnu7eurMw/edit?gid=15948134#gid=15948134"", ""Technique!A1:B2000""),2,FALSE()))"),"split data into train and test, using stratified sampling")</f>
        <v>split data into train and test, using stratified sampling</v>
      </c>
      <c r="L399" s="8" t="str">
        <f>IFERROR(__xludf.DUMMYFUNCTION("IF(ISBLANK(D399),""NA"", VLOOKUP(D399,IMPORTRANGE(""https://docs.google.com/spreadsheets/d/1EdCvim__xyxvoo9WoburDTzYylznTCOJBHcnu7eurMw/edit?gid=15948134#gid=15948134"", ""Input!A1:B2000""),2,FALSE()))"),"data mined from issue tracking systems")</f>
        <v>data mined from issue tracking systems</v>
      </c>
    </row>
    <row r="400" hidden="1">
      <c r="A400" s="1" t="s">
        <v>1327</v>
      </c>
      <c r="B400" s="1">
        <v>5.0</v>
      </c>
      <c r="C400" s="1" t="s">
        <v>1350</v>
      </c>
      <c r="D400" s="1" t="s">
        <v>1351</v>
      </c>
      <c r="E400" s="15" t="s">
        <v>1352</v>
      </c>
      <c r="F400" s="14" t="s">
        <v>1353</v>
      </c>
      <c r="G400" s="1" t="s">
        <v>54</v>
      </c>
      <c r="H400" s="20" t="s">
        <v>1333</v>
      </c>
      <c r="J400" s="8" t="str">
        <f>IFERROR(__xludf.DUMMYFUNCTION("IF(ISBLANK(F400),""NA"", VLOOKUP(F400,IMPORTRANGE(""https://docs.google.com/spreadsheets/d/1EdCvim__xyxvoo9WoburDTzYylznTCOJBHcnu7eurMw/edit?gid=15948134#gid=15948134"", ""Purpose!A1:B1000""),2,FALSE()))"),"to do collective inference (i.e., infer class probabilities for all the network simultaneously)")</f>
        <v>to do collective inference (i.e., infer class probabilities for all the network simultaneously)</v>
      </c>
      <c r="K400" s="8" t="str">
        <f>IFERROR(__xludf.DUMMYFUNCTION("IF(ISBLANK(E400),""NA"", VLOOKUP(E400,IMPORTRANGE(""https://docs.google.com/spreadsheets/d/1EdCvim__xyxvoo9WoburDTzYylznTCOJBHcnu7eurMw/edit?gid=15948134#gid=15948134"", ""Technique!A1:B2000""),2,FALSE()))"),"automated labeling, Relaxation Labeling + Stacked Inference")</f>
        <v>automated labeling, Relaxation Labeling + Stacked Inference</v>
      </c>
      <c r="L400" s="8" t="str">
        <f>IFERROR(__xludf.DUMMYFUNCTION("IF(ISBLANK(D400),""NA"", VLOOKUP(D400,IMPORTRANGE(""https://docs.google.com/spreadsheets/d/1EdCvim__xyxvoo9WoburDTzYylznTCOJBHcnu7eurMw/edit?gid=15948134#gid=15948134"", ""Input!A1:B2000""),2,FALSE()))"),"model(s)' output")</f>
        <v>model(s)' output</v>
      </c>
    </row>
    <row r="401" hidden="1">
      <c r="A401" s="1" t="s">
        <v>1327</v>
      </c>
      <c r="B401" s="1" t="s">
        <v>1354</v>
      </c>
      <c r="C401" s="1" t="s">
        <v>1355</v>
      </c>
      <c r="D401" s="1" t="s">
        <v>1356</v>
      </c>
      <c r="E401" s="1" t="s">
        <v>1357</v>
      </c>
      <c r="F401" s="14" t="s">
        <v>1358</v>
      </c>
      <c r="G401" s="1" t="s">
        <v>39</v>
      </c>
      <c r="H401" s="15" t="s">
        <v>1333</v>
      </c>
      <c r="J401" s="8" t="str">
        <f>IFERROR(__xludf.DUMMYFUNCTION("IF(ISBLANK(F401),""NA"", VLOOKUP(F401,IMPORTRANGE(""https://docs.google.com/spreadsheets/d/1EdCvim__xyxvoo9WoburDTzYylznTCOJBHcnu7eurMw/edit?gid=15948134#gid=15948134"", ""Purpose!A1:B1000""),2,FALSE()))"),"to evaluate model(s) functionally (e.g., accuracy)")</f>
        <v>to evaluate model(s) functionally (e.g., accuracy)</v>
      </c>
      <c r="K401" s="8" t="str">
        <f>IFERROR(__xludf.DUMMYFUNCTION("IF(ISBLANK(E401),""NA"", VLOOKUP(E401,IMPORTRANGE(""https://docs.google.com/spreadsheets/d/1EdCvim__xyxvoo9WoburDTzYylznTCOJBHcnu7eurMw/edit?gid=15948134#gid=15948134"", ""Technique!A1:B2000""),2,FALSE()))"),"compute classical metrics (i.e., Precision, Recall. F-meassure) + confusion marix")</f>
        <v>compute classical metrics (i.e., Precision, Recall. F-meassure) + confusion marix</v>
      </c>
      <c r="L401" s="8" t="str">
        <f>IFERROR(__xludf.DUMMYFUNCTION("IF(ISBLANK(D401),""NA"", VLOOKUP(D401,IMPORTRANGE(""https://docs.google.com/spreadsheets/d/1EdCvim__xyxvoo9WoburDTzYylznTCOJBHcnu7eurMw/edit?gid=15948134#gid=15948134"", ""Input!A1:B2000""),2,FALSE()))"),"data + model(s)")</f>
        <v>data + model(s)</v>
      </c>
    </row>
    <row r="402" hidden="1">
      <c r="A402" s="1" t="s">
        <v>1327</v>
      </c>
      <c r="B402" s="1">
        <v>8.0</v>
      </c>
      <c r="C402" s="1" t="s">
        <v>1359</v>
      </c>
      <c r="D402" s="1" t="s">
        <v>1356</v>
      </c>
      <c r="E402" s="1" t="s">
        <v>1360</v>
      </c>
      <c r="F402" s="14" t="s">
        <v>1361</v>
      </c>
      <c r="G402" s="1" t="s">
        <v>39</v>
      </c>
      <c r="H402" s="15" t="s">
        <v>1333</v>
      </c>
      <c r="J402" s="8" t="str">
        <f>IFERROR(__xludf.DUMMYFUNCTION("IF(ISBLANK(F402),""NA"", VLOOKUP(F402,IMPORTRANGE(""https://docs.google.com/spreadsheets/d/1EdCvim__xyxvoo9WoburDTzYylznTCOJBHcnu7eurMw/edit?gid=15948134#gid=15948134"", ""Purpose!A1:B1000""),2,FALSE()))"),"to evaluate model(s) the degree of discrimination")</f>
        <v>to evaluate model(s) the degree of discrimination</v>
      </c>
      <c r="K402" s="8" t="str">
        <f>IFERROR(__xludf.DUMMYFUNCTION("IF(ISBLANK(E402),""NA"", VLOOKUP(E402,IMPORTRANGE(""https://docs.google.com/spreadsheets/d/1EdCvim__xyxvoo9WoburDTzYylznTCOJBHcnu7eurMw/edit?gid=15948134#gid=15948134"", ""Technique!A1:B2000""),2,FALSE()))"),"compute classical metrics (i.e., AUC)")</f>
        <v>compute classical metrics (i.e., AUC)</v>
      </c>
      <c r="L402" s="8" t="str">
        <f>IFERROR(__xludf.DUMMYFUNCTION("IF(ISBLANK(D402),""NA"", VLOOKUP(D402,IMPORTRANGE(""https://docs.google.com/spreadsheets/d/1EdCvim__xyxvoo9WoburDTzYylznTCOJBHcnu7eurMw/edit?gid=15948134#gid=15948134"", ""Input!A1:B2000""),2,FALSE()))"),"data + model(s)")</f>
        <v>data + model(s)</v>
      </c>
    </row>
    <row r="403" hidden="1">
      <c r="A403" s="1" t="s">
        <v>1362</v>
      </c>
      <c r="B403" s="1" t="s">
        <v>1363</v>
      </c>
      <c r="C403" s="1" t="s">
        <v>1364</v>
      </c>
      <c r="D403" s="1" t="s">
        <v>1365</v>
      </c>
      <c r="E403" s="16" t="s">
        <v>1366</v>
      </c>
      <c r="F403" s="14" t="s">
        <v>901</v>
      </c>
      <c r="G403" s="1" t="s">
        <v>20</v>
      </c>
      <c r="H403" s="15" t="s">
        <v>1367</v>
      </c>
      <c r="J403" s="8" t="str">
        <f>IFERROR(__xludf.DUMMYFUNCTION("IF(ISBLANK(F403),""NA"", VLOOKUP(F403,IMPORTRANGE(""https://docs.google.com/spreadsheets/d/1EdCvim__xyxvoo9WoburDTzYylznTCOJBHcnu7eurMw/edit?gid=15948134#gid=15948134"", ""Purpose!A1:B1000""),2,FALSE()))"),"to split the data into different sets")</f>
        <v>to split the data into different sets</v>
      </c>
      <c r="K403" s="8" t="str">
        <f>IFERROR(__xludf.DUMMYFUNCTION("IF(ISBLANK(E403),""NA"", VLOOKUP(E403,IMPORTRANGE(""https://docs.google.com/spreadsheets/d/1EdCvim__xyxvoo9WoburDTzYylznTCOJBHcnu7eurMw/edit?gid=15948134#gid=15948134"", ""Technique!A1:B2000""),2,FALSE()))"),"split data into train, validation and test")</f>
        <v>split data into train, validation and test</v>
      </c>
      <c r="L403" s="8" t="str">
        <f>IFERROR(__xludf.DUMMYFUNCTION("IF(ISBLANK(D403),""NA"", VLOOKUP(D403,IMPORTRANGE(""https://docs.google.com/spreadsheets/d/1EdCvim__xyxvoo9WoburDTzYylznTCOJBHcnu7eurMw/edit?gid=15948134#gid=15948134"", ""Input!A1:B2000""),2,FALSE()))"),"data")</f>
        <v>data</v>
      </c>
    </row>
    <row r="404" hidden="1">
      <c r="A404" s="1" t="s">
        <v>1362</v>
      </c>
      <c r="B404" s="1">
        <v>2.0</v>
      </c>
      <c r="C404" s="1" t="s">
        <v>1364</v>
      </c>
      <c r="D404" s="1" t="s">
        <v>1365</v>
      </c>
      <c r="E404" s="16" t="s">
        <v>1368</v>
      </c>
      <c r="F404" s="14" t="s">
        <v>1369</v>
      </c>
      <c r="G404" s="1" t="s">
        <v>54</v>
      </c>
      <c r="H404" s="15" t="s">
        <v>1367</v>
      </c>
      <c r="J404" s="8" t="str">
        <f>IFERROR(__xludf.DUMMYFUNCTION("IF(ISBLANK(F404),""NA"", VLOOKUP(F404,IMPORTRANGE(""https://docs.google.com/spreadsheets/d/1EdCvim__xyxvoo9WoburDTzYylznTCOJBHcnu7eurMw/edit?gid=15948134#gid=15948134"", ""Purpose!A1:B1000""),2,FALSE()))"),"to avoid data snoopping")</f>
        <v>to avoid data snoopping</v>
      </c>
      <c r="K404" s="8" t="str">
        <f>IFERROR(__xludf.DUMMYFUNCTION("IF(ISBLANK(E404),""NA"", VLOOKUP(E404,IMPORTRANGE(""https://docs.google.com/spreadsheets/d/1EdCvim__xyxvoo9WoburDTzYylznTCOJBHcnu7eurMw/edit?gid=15948134#gid=15948134"", ""Technique!A1:B2000""),2,FALSE()))"),"split data into train and test data, all data from a single App in a single split")</f>
        <v>split data into train and test data, all data from a single App in a single split</v>
      </c>
      <c r="L404" s="8" t="str">
        <f>IFERROR(__xludf.DUMMYFUNCTION("IF(ISBLANK(D404),""NA"", VLOOKUP(D404,IMPORTRANGE(""https://docs.google.com/spreadsheets/d/1EdCvim__xyxvoo9WoburDTzYylznTCOJBHcnu7eurMw/edit?gid=15948134#gid=15948134"", ""Input!A1:B2000""),2,FALSE()))"),"data")</f>
        <v>data</v>
      </c>
    </row>
    <row r="405" hidden="1">
      <c r="A405" s="1" t="s">
        <v>1362</v>
      </c>
      <c r="B405" s="1" t="s">
        <v>1155</v>
      </c>
      <c r="C405" s="1" t="s">
        <v>1364</v>
      </c>
      <c r="D405" s="1" t="s">
        <v>1370</v>
      </c>
      <c r="E405" s="16" t="s">
        <v>1371</v>
      </c>
      <c r="F405" s="1"/>
      <c r="G405" s="1" t="s">
        <v>54</v>
      </c>
      <c r="H405" s="15" t="s">
        <v>1367</v>
      </c>
      <c r="J405" s="8" t="str">
        <f>IFERROR(__xludf.DUMMYFUNCTION("IF(ISBLANK(F405),""NA"", VLOOKUP(F405,IMPORTRANGE(""https://docs.google.com/spreadsheets/d/1EdCvim__xyxvoo9WoburDTzYylznTCOJBHcnu7eurMw/edit?gid=15948134#gid=15948134"", ""Purpose!A1:B1000""),2,FALSE()))"),"NA")</f>
        <v>NA</v>
      </c>
      <c r="K405" s="8" t="str">
        <f>IFERROR(__xludf.DUMMYFUNCTION("IF(ISBLANK(E405),""NA"", VLOOKUP(E405,IMPORTRANGE(""https://docs.google.com/spreadsheets/d/1EdCvim__xyxvoo9WoburDTzYylznTCOJBHcnu7eurMw/edit?gid=15948134#gid=15948134"", ""Technique!A1:B2000""),2,FALSE()))"),"cross validation")</f>
        <v>cross validation</v>
      </c>
      <c r="L405" s="8" t="str">
        <f>IFERROR(__xludf.DUMMYFUNCTION("IF(ISBLANK(D405),""NA"", VLOOKUP(D405,IMPORTRANGE(""https://docs.google.com/spreadsheets/d/1EdCvim__xyxvoo9WoburDTzYylznTCOJBHcnu7eurMw/edit?gid=15948134#gid=15948134"", ""Input!A1:B2000""),2,FALSE()))"),"data + model(s)")</f>
        <v>data + model(s)</v>
      </c>
    </row>
    <row r="406" hidden="1">
      <c r="A406" s="1" t="s">
        <v>1362</v>
      </c>
      <c r="B406" s="1" t="s">
        <v>1161</v>
      </c>
      <c r="C406" s="1" t="s">
        <v>1372</v>
      </c>
      <c r="D406" s="1" t="s">
        <v>503</v>
      </c>
      <c r="E406" s="16" t="s">
        <v>1373</v>
      </c>
      <c r="F406" s="14" t="s">
        <v>1374</v>
      </c>
      <c r="G406" s="1" t="s">
        <v>54</v>
      </c>
      <c r="H406" s="15" t="s">
        <v>1367</v>
      </c>
      <c r="J406" s="8" t="str">
        <f>IFERROR(__xludf.DUMMYFUNCTION("IF(ISBLANK(F406),""NA"", VLOOKUP(F406,IMPORTRANGE(""https://docs.google.com/spreadsheets/d/1EdCvim__xyxvoo9WoburDTzYylznTCOJBHcnu7eurMw/edit?gid=15948134#gid=15948134"", ""Purpose!A1:B1000""),2,FALSE()))"),"to fine-tune the model(s)")</f>
        <v>to fine-tune the model(s)</v>
      </c>
      <c r="K406" s="8" t="str">
        <f>IFERROR(__xludf.DUMMYFUNCTION("IF(ISBLANK(E406),""NA"", VLOOKUP(E406,IMPORTRANGE(""https://docs.google.com/spreadsheets/d/1EdCvim__xyxvoo9WoburDTzYylznTCOJBHcnu7eurMw/edit?gid=15948134#gid=15948134"", ""Technique!A1:B2000""),2,FALSE()))"),"transfer learning, using weights of pre-trained model")</f>
        <v>transfer learning, using weights of pre-trained model</v>
      </c>
      <c r="L406" s="8" t="str">
        <f>IFERROR(__xludf.DUMMYFUNCTION("IF(ISBLANK(D406),""NA"", VLOOKUP(D406,IMPORTRANGE(""https://docs.google.com/spreadsheets/d/1EdCvim__xyxvoo9WoburDTzYylznTCOJBHcnu7eurMw/edit?gid=15948134#gid=15948134"", ""Input!A1:B2000""),2,FALSE()))"),"model(s)")</f>
        <v>model(s)</v>
      </c>
    </row>
    <row r="407" hidden="1">
      <c r="A407" s="1" t="s">
        <v>1362</v>
      </c>
      <c r="B407" s="1" t="s">
        <v>1123</v>
      </c>
      <c r="C407" s="1" t="s">
        <v>1372</v>
      </c>
      <c r="D407" s="1" t="s">
        <v>503</v>
      </c>
      <c r="E407" s="16" t="s">
        <v>1375</v>
      </c>
      <c r="F407" s="14" t="s">
        <v>1376</v>
      </c>
      <c r="G407" s="1" t="s">
        <v>54</v>
      </c>
      <c r="H407" s="15" t="s">
        <v>1367</v>
      </c>
      <c r="J407" s="8" t="str">
        <f>IFERROR(__xludf.DUMMYFUNCTION("IF(ISBLANK(F407),""NA"", VLOOKUP(F407,IMPORTRANGE(""https://docs.google.com/spreadsheets/d/1EdCvim__xyxvoo9WoburDTzYylznTCOJBHcnu7eurMw/edit?gid=15948134#gid=15948134"", ""Purpose!A1:B1000""),2,FALSE()))"),"to find the best hyperparameters in general")</f>
        <v>to find the best hyperparameters in general</v>
      </c>
      <c r="K407" s="8" t="str">
        <f>IFERROR(__xludf.DUMMYFUNCTION("IF(ISBLANK(E407),""NA"", VLOOKUP(E407,IMPORTRANGE(""https://docs.google.com/spreadsheets/d/1EdCvim__xyxvoo9WoburDTzYylznTCOJBHcnu7eurMw/edit?gid=15948134#gid=15948134"", ""Technique!A1:B2000""),2,FALSE()))"),"report model fine details (e.g., LR optimization (Adam))")</f>
        <v>report model fine details (e.g., LR optimization (Adam))</v>
      </c>
      <c r="L407" s="8" t="str">
        <f>IFERROR(__xludf.DUMMYFUNCTION("IF(ISBLANK(D407),""NA"", VLOOKUP(D407,IMPORTRANGE(""https://docs.google.com/spreadsheets/d/1EdCvim__xyxvoo9WoburDTzYylznTCOJBHcnu7eurMw/edit?gid=15948134#gid=15948134"", ""Input!A1:B2000""),2,FALSE()))"),"model(s)")</f>
        <v>model(s)</v>
      </c>
    </row>
    <row r="408" hidden="1">
      <c r="A408" s="1" t="s">
        <v>1362</v>
      </c>
      <c r="B408" s="1">
        <v>11.0</v>
      </c>
      <c r="C408" s="1" t="s">
        <v>1372</v>
      </c>
      <c r="E408" s="16" t="s">
        <v>1377</v>
      </c>
      <c r="F408" s="14" t="s">
        <v>1378</v>
      </c>
      <c r="G408" s="1" t="s">
        <v>54</v>
      </c>
      <c r="H408" s="15" t="s">
        <v>1367</v>
      </c>
      <c r="J408" s="8" t="str">
        <f>IFERROR(__xludf.DUMMYFUNCTION("IF(ISBLANK(F408),""NA"", VLOOKUP(F408,IMPORTRANGE(""https://docs.google.com/spreadsheets/d/1EdCvim__xyxvoo9WoburDTzYylznTCOJBHcnu7eurMw/edit?gid=15948134#gid=15948134"", ""Purpose!A1:B1000""),2,FALSE()))"),"to find the best object confidence threshold")</f>
        <v>to find the best object confidence threshold</v>
      </c>
      <c r="K408" s="8" t="str">
        <f>IFERROR(__xludf.DUMMYFUNCTION("IF(ISBLANK(E408),""NA"", VLOOKUP(E408,IMPORTRANGE(""https://docs.google.com/spreadsheets/d/1EdCvim__xyxvoo9WoburDTzYylznTCOJBHcnu7eurMw/edit?gid=15948134#gid=15948134"", ""Technique!A1:B2000""),2,FALSE()))"),"hyperparameter tuning evaluation on validation set")</f>
        <v>hyperparameter tuning evaluation on validation set</v>
      </c>
      <c r="L408" s="8" t="str">
        <f>IFERROR(__xludf.DUMMYFUNCTION("IF(ISBLANK(D408),""NA"", VLOOKUP(D408,IMPORTRANGE(""https://docs.google.com/spreadsheets/d/1EdCvim__xyxvoo9WoburDTzYylznTCOJBHcnu7eurMw/edit?gid=15948134#gid=15948134"", ""Input!A1:B2000""),2,FALSE()))"),"NA")</f>
        <v>NA</v>
      </c>
    </row>
    <row r="409" hidden="1">
      <c r="A409" s="1" t="s">
        <v>1362</v>
      </c>
      <c r="B409" s="1">
        <v>5.0</v>
      </c>
      <c r="C409" s="1" t="s">
        <v>1372</v>
      </c>
      <c r="D409" s="1" t="s">
        <v>1379</v>
      </c>
      <c r="E409" s="16" t="s">
        <v>1380</v>
      </c>
      <c r="F409" s="14" t="s">
        <v>1381</v>
      </c>
      <c r="G409" s="1" t="s">
        <v>54</v>
      </c>
      <c r="H409" s="15" t="s">
        <v>1367</v>
      </c>
      <c r="J409" s="8" t="str">
        <f>IFERROR(__xludf.DUMMYFUNCTION("IF(ISBLANK(F409),""NA"", VLOOKUP(F409,IMPORTRANGE(""https://docs.google.com/spreadsheets/d/1EdCvim__xyxvoo9WoburDTzYylznTCOJBHcnu7eurMw/edit?gid=15948134#gid=15948134"", ""Purpose!A1:B1000""),2,FALSE()))"),"to remove overlapping bounding boxes (predictions)")</f>
        <v>to remove overlapping bounding boxes (predictions)</v>
      </c>
      <c r="K409" s="8" t="str">
        <f>IFERROR(__xludf.DUMMYFUNCTION("IF(ISBLANK(E409),""NA"", VLOOKUP(E409,IMPORTRANGE(""https://docs.google.com/spreadsheets/d/1EdCvim__xyxvoo9WoburDTzYylznTCOJBHcnu7eurMw/edit?gid=15948134#gid=15948134"", ""Technique!A1:B2000""),2,FALSE()))"),"perform non-maximum suppression")</f>
        <v>perform non-maximum suppression</v>
      </c>
      <c r="L409" s="8" t="str">
        <f>IFERROR(__xludf.DUMMYFUNCTION("IF(ISBLANK(D409),""NA"", VLOOKUP(D409,IMPORTRANGE(""https://docs.google.com/spreadsheets/d/1EdCvim__xyxvoo9WoburDTzYylznTCOJBHcnu7eurMw/edit?gid=15948134#gid=15948134"", ""Input!A1:B2000""),2,FALSE()))"),"model(s)' output")</f>
        <v>model(s)' output</v>
      </c>
    </row>
    <row r="410" hidden="1">
      <c r="A410" s="1" t="s">
        <v>1362</v>
      </c>
      <c r="B410" s="1" t="s">
        <v>1382</v>
      </c>
      <c r="C410" s="1" t="s">
        <v>1383</v>
      </c>
      <c r="E410" s="14" t="s">
        <v>1384</v>
      </c>
      <c r="F410" s="14" t="s">
        <v>1385</v>
      </c>
      <c r="G410" s="1" t="s">
        <v>39</v>
      </c>
      <c r="H410" s="15" t="s">
        <v>1367</v>
      </c>
      <c r="J410" s="8" t="str">
        <f>IFERROR(__xludf.DUMMYFUNCTION("IF(ISBLANK(F410),""NA"", VLOOKUP(F410,IMPORTRANGE(""https://docs.google.com/spreadsheets/d/1EdCvim__xyxvoo9WoburDTzYylznTCOJBHcnu7eurMw/edit?gid=15948134#gid=15948134"", ""Purpose!A1:B1000""),2,FALSE()))"),"to evaluate model(s) functionally (e.g., accuracy)")</f>
        <v>to evaluate model(s) functionally (e.g., accuracy)</v>
      </c>
      <c r="K410" s="8" t="str">
        <f>IFERROR(__xludf.DUMMYFUNCTION("IF(ISBLANK(E410),""NA"", VLOOKUP(E410,IMPORTRANGE(""https://docs.google.com/spreadsheets/d/1EdCvim__xyxvoo9WoburDTzYylznTCOJBHcnu7eurMw/edit?gid=15948134#gid=15948134"", ""Technique!A1:B2000""),2,FALSE()))"),"compute classical metrics (i.e., Precision, Recall. F-meassure)")</f>
        <v>compute classical metrics (i.e., Precision, Recall. F-meassure)</v>
      </c>
      <c r="L410" s="8" t="str">
        <f>IFERROR(__xludf.DUMMYFUNCTION("IF(ISBLANK(D410),""NA"", VLOOKUP(D410,IMPORTRANGE(""https://docs.google.com/spreadsheets/d/1EdCvim__xyxvoo9WoburDTzYylznTCOJBHcnu7eurMw/edit?gid=15948134#gid=15948134"", ""Input!A1:B2000""),2,FALSE()))"),"NA")</f>
        <v>NA</v>
      </c>
    </row>
    <row r="411" hidden="1">
      <c r="A411" s="1" t="s">
        <v>1362</v>
      </c>
      <c r="B411" s="1">
        <v>14.0</v>
      </c>
      <c r="C411" s="1" t="s">
        <v>1383</v>
      </c>
      <c r="E411" s="14" t="s">
        <v>1386</v>
      </c>
      <c r="F411" s="14" t="s">
        <v>1387</v>
      </c>
      <c r="G411" s="1" t="s">
        <v>39</v>
      </c>
      <c r="H411" s="15" t="s">
        <v>1367</v>
      </c>
      <c r="J411" s="8" t="str">
        <f>IFERROR(__xludf.DUMMYFUNCTION("IF(ISBLANK(F411),""NA"", VLOOKUP(F411,IMPORTRANGE(""https://docs.google.com/spreadsheets/d/1EdCvim__xyxvoo9WoburDTzYylznTCOJBHcnu7eurMw/edit?gid=15948134#gid=15948134"", ""Purpose!A1:B1000""),2,FALSE()))"),"to visualize results (i.e., thresholds vs results)")</f>
        <v>to visualize results (i.e., thresholds vs results)</v>
      </c>
      <c r="K411" s="8" t="str">
        <f>IFERROR(__xludf.DUMMYFUNCTION("IF(ISBLANK(E411),""NA"", VLOOKUP(E411,IMPORTRANGE(""https://docs.google.com/spreadsheets/d/1EdCvim__xyxvoo9WoburDTzYylznTCOJBHcnu7eurMw/edit?gid=15948134#gid=15948134"", ""Technique!A1:B2000""),2,FALSE()))"),"plot results (i.e., line-charts)")</f>
        <v>plot results (i.e., line-charts)</v>
      </c>
      <c r="L411" s="8" t="str">
        <f>IFERROR(__xludf.DUMMYFUNCTION("IF(ISBLANK(D411),""NA"", VLOOKUP(D411,IMPORTRANGE(""https://docs.google.com/spreadsheets/d/1EdCvim__xyxvoo9WoburDTzYylznTCOJBHcnu7eurMw/edit?gid=15948134#gid=15948134"", ""Input!A1:B2000""),2,FALSE()))"),"NA")</f>
        <v>NA</v>
      </c>
    </row>
    <row r="412" hidden="1">
      <c r="A412" s="1" t="s">
        <v>1362</v>
      </c>
      <c r="B412" s="1">
        <v>16.0</v>
      </c>
      <c r="C412" s="1" t="s">
        <v>1388</v>
      </c>
      <c r="E412" s="14" t="s">
        <v>1389</v>
      </c>
      <c r="F412" s="14" t="s">
        <v>364</v>
      </c>
      <c r="G412" s="1" t="s">
        <v>39</v>
      </c>
      <c r="H412" s="15" t="s">
        <v>1367</v>
      </c>
      <c r="J412" s="8" t="str">
        <f>IFERROR(__xludf.DUMMYFUNCTION("IF(ISBLANK(F412),""NA"", VLOOKUP(F412,IMPORTRANGE(""https://docs.google.com/spreadsheets/d/1EdCvim__xyxvoo9WoburDTzYylznTCOJBHcnu7eurMw/edit?gid=15948134#gid=15948134"", ""Purpose!A1:B1000""),2,FALSE()))"),"to evaluate model(s) functionally (e.g., accuracy) against others")</f>
        <v>to evaluate model(s) functionally (e.g., accuracy) against others</v>
      </c>
      <c r="K412" s="8" t="str">
        <f>IFERROR(__xludf.DUMMYFUNCTION("IF(ISBLANK(E412),""NA"", VLOOKUP(E412,IMPORTRANGE(""https://docs.google.com/spreadsheets/d/1EdCvim__xyxvoo9WoburDTzYylznTCOJBHcnu7eurMw/edit?gid=15948134#gid=15948134"", ""Technique!A1:B2000""),2,FALSE()))"),"compare with baseline model(s), state-of-the-art baselines non ml (REMAUI, Xianyu, Tesseract), deep learning (Faster RCNN, YOLOv3, CenterNet, EAST)")</f>
        <v>compare with baseline model(s), state-of-the-art baselines non ml (REMAUI, Xianyu, Tesseract), deep learning (Faster RCNN, YOLOv3, CenterNet, EAST)</v>
      </c>
      <c r="L412" s="8" t="str">
        <f>IFERROR(__xludf.DUMMYFUNCTION("IF(ISBLANK(D412),""NA"", VLOOKUP(D412,IMPORTRANGE(""https://docs.google.com/spreadsheets/d/1EdCvim__xyxvoo9WoburDTzYylznTCOJBHcnu7eurMw/edit?gid=15948134#gid=15948134"", ""Input!A1:B2000""),2,FALSE()))"),"NA")</f>
        <v>NA</v>
      </c>
    </row>
    <row r="413" hidden="1">
      <c r="A413" s="1" t="s">
        <v>1362</v>
      </c>
      <c r="B413" s="1">
        <v>15.0</v>
      </c>
      <c r="C413" s="1" t="s">
        <v>1390</v>
      </c>
      <c r="D413" s="1" t="s">
        <v>1391</v>
      </c>
      <c r="E413" s="16" t="s">
        <v>1392</v>
      </c>
      <c r="F413" s="14" t="s">
        <v>1393</v>
      </c>
      <c r="G413" s="1" t="s">
        <v>20</v>
      </c>
      <c r="H413" s="15" t="s">
        <v>1367</v>
      </c>
      <c r="J413" s="8" t="str">
        <f>IFERROR(__xludf.DUMMYFUNCTION("IF(ISBLANK(F413),""NA"", VLOOKUP(F413,IMPORTRANGE(""https://docs.google.com/spreadsheets/d/1EdCvim__xyxvoo9WoburDTzYylznTCOJBHcnu7eurMw/edit?gid=15948134#gid=15948134"", ""Purpose!A1:B1000""),2,FALSE()))"),"to facilitate the identification of components from background")</f>
        <v>to facilitate the identification of components from background</v>
      </c>
      <c r="K413" s="8" t="str">
        <f>IFERROR(__xludf.DUMMYFUNCTION("IF(ISBLANK(E413),""NA"", VLOOKUP(E413,IMPORTRANGE(""https://docs.google.com/spreadsheets/d/1EdCvim__xyxvoo9WoburDTzYylznTCOJBHcnu7eurMw/edit?gid=15948134#gid=15948134"", ""Technique!A1:B2000""),2,FALSE()))"),"binaryze images")</f>
        <v>binaryze images</v>
      </c>
      <c r="L413" s="8" t="str">
        <f>IFERROR(__xludf.DUMMYFUNCTION("IF(ISBLANK(D413),""NA"", VLOOKUP(D413,IMPORTRANGE(""https://docs.google.com/spreadsheets/d/1EdCvim__xyxvoo9WoburDTzYylznTCOJBHcnu7eurMw/edit?gid=15948134#gid=15948134"", ""Input!A1:B2000""),2,FALSE()))"),"image data (screenshots)")</f>
        <v>image data (screenshots)</v>
      </c>
    </row>
    <row r="414" hidden="1">
      <c r="A414" s="1" t="s">
        <v>1394</v>
      </c>
      <c r="B414" s="1" t="s">
        <v>1395</v>
      </c>
      <c r="C414" s="1" t="s">
        <v>1396</v>
      </c>
      <c r="D414" s="1" t="s">
        <v>503</v>
      </c>
      <c r="E414" s="15" t="s">
        <v>1397</v>
      </c>
      <c r="F414" s="14" t="s">
        <v>1398</v>
      </c>
      <c r="G414" s="1" t="s">
        <v>54</v>
      </c>
      <c r="H414" s="15" t="s">
        <v>1399</v>
      </c>
      <c r="J414" s="8" t="str">
        <f>IFERROR(__xludf.DUMMYFUNCTION("IF(ISBLANK(F414),""NA"", VLOOKUP(F414,IMPORTRANGE(""https://docs.google.com/spreadsheets/d/1EdCvim__xyxvoo9WoburDTzYylznTCOJBHcnu7eurMw/edit?gid=15948134#gid=15948134"", ""Purpose!A1:B1000""),2,FALSE()))"),"to train a model for prediction tasks (i.e., time series)")</f>
        <v>to train a model for prediction tasks (i.e., time series)</v>
      </c>
      <c r="K414" s="8" t="str">
        <f>IFERROR(__xludf.DUMMYFUNCTION("IF(ISBLANK(E414),""NA"", VLOOKUP(E414,IMPORTRANGE(""https://docs.google.com/spreadsheets/d/1EdCvim__xyxvoo9WoburDTzYylznTCOJBHcnu7eurMw/edit?gid=15948134#gid=15948134"", ""Technique!A1:B2000""),2,FALSE()))"),"use ARIMA (Autoregressive Integrated Moving Average)")</f>
        <v>use ARIMA (Autoregressive Integrated Moving Average)</v>
      </c>
      <c r="L414" s="8" t="str">
        <f>IFERROR(__xludf.DUMMYFUNCTION("IF(ISBLANK(D414),""NA"", VLOOKUP(D414,IMPORTRANGE(""https://docs.google.com/spreadsheets/d/1EdCvim__xyxvoo9WoburDTzYylznTCOJBHcnu7eurMw/edit?gid=15948134#gid=15948134"", ""Input!A1:B2000""),2,FALSE()))"),"model(s)")</f>
        <v>model(s)</v>
      </c>
    </row>
    <row r="415" hidden="1">
      <c r="A415" s="1" t="s">
        <v>1394</v>
      </c>
      <c r="B415" s="1">
        <v>9.0</v>
      </c>
      <c r="C415" s="1" t="s">
        <v>1400</v>
      </c>
      <c r="D415" s="1" t="s">
        <v>1401</v>
      </c>
      <c r="E415" s="15" t="s">
        <v>1402</v>
      </c>
      <c r="F415" s="14" t="s">
        <v>1403</v>
      </c>
      <c r="G415" s="1" t="s">
        <v>54</v>
      </c>
      <c r="H415" s="15" t="s">
        <v>1399</v>
      </c>
      <c r="J415" s="8" t="str">
        <f>IFERROR(__xludf.DUMMYFUNCTION("IF(ISBLANK(F415),""NA"", VLOOKUP(F415,IMPORTRANGE(""https://docs.google.com/spreadsheets/d/1EdCvim__xyxvoo9WoburDTzYylznTCOJBHcnu7eurMw/edit?gid=15948134#gid=15948134"", ""Purpose!A1:B1000""),2,FALSE()))"),"to find the best parameters for ARIMA")</f>
        <v>to find the best parameters for ARIMA</v>
      </c>
      <c r="K415" s="8" t="str">
        <f>IFERROR(__xludf.DUMMYFUNCTION("IF(ISBLANK(E415),""NA"", VLOOKUP(E415,IMPORTRANGE(""https://docs.google.com/spreadsheets/d/1EdCvim__xyxvoo9WoburDTzYylznTCOJBHcnu7eurMw/edit?gid=15948134#gid=15948134"", ""Technique!A1:B2000""),2,FALSE()))"),"report model fine details (e.g., max. likelihood estimation)")</f>
        <v>report model fine details (e.g., max. likelihood estimation)</v>
      </c>
      <c r="L415" s="8" t="str">
        <f>IFERROR(__xludf.DUMMYFUNCTION("IF(ISBLANK(D415),""NA"", VLOOKUP(D415,IMPORTRANGE(""https://docs.google.com/spreadsheets/d/1EdCvim__xyxvoo9WoburDTzYylznTCOJBHcnu7eurMw/edit?gid=15948134#gid=15948134"", ""Input!A1:B2000""),2,FALSE()))"),"time series data")</f>
        <v>time series data</v>
      </c>
    </row>
    <row r="416" hidden="1">
      <c r="A416" s="1" t="s">
        <v>1394</v>
      </c>
      <c r="B416" s="1" t="s">
        <v>1404</v>
      </c>
      <c r="C416" s="1" t="s">
        <v>1405</v>
      </c>
      <c r="D416" s="1" t="s">
        <v>503</v>
      </c>
      <c r="E416" s="15" t="s">
        <v>1406</v>
      </c>
      <c r="F416" s="14" t="s">
        <v>1407</v>
      </c>
      <c r="G416" s="1" t="s">
        <v>54</v>
      </c>
      <c r="H416" s="15" t="s">
        <v>1399</v>
      </c>
      <c r="J416" s="8" t="str">
        <f>IFERROR(__xludf.DUMMYFUNCTION("IF(ISBLANK(F416),""NA"", VLOOKUP(F416,IMPORTRANGE(""https://docs.google.com/spreadsheets/d/1EdCvim__xyxvoo9WoburDTzYylznTCOJBHcnu7eurMw/edit?gid=15948134#gid=15948134"", ""Purpose!A1:B1000""),2,FALSE()))"),"to support runtime predictions (i.e., tactic of latency and cost)")</f>
        <v>to support runtime predictions (i.e., tactic of latency and cost)</v>
      </c>
      <c r="K416" s="8" t="str">
        <f>IFERROR(__xludf.DUMMYFUNCTION("IF(ISBLANK(E416),""NA"", VLOOKUP(E416,IMPORTRANGE(""https://docs.google.com/spreadsheets/d/1EdCvim__xyxvoo9WoburDTzYylznTCOJBHcnu7eurMw/edit?gid=15948134#gid=15948134"", ""Technique!A1:B2000""),2,FALSE()))"),"uses Multiple Regression Analysis (MRA)")</f>
        <v>uses Multiple Regression Analysis (MRA)</v>
      </c>
      <c r="L416" s="8" t="str">
        <f>IFERROR(__xludf.DUMMYFUNCTION("IF(ISBLANK(D416),""NA"", VLOOKUP(D416,IMPORTRANGE(""https://docs.google.com/spreadsheets/d/1EdCvim__xyxvoo9WoburDTzYylznTCOJBHcnu7eurMw/edit?gid=15948134#gid=15948134"", ""Input!A1:B2000""),2,FALSE()))"),"model(s)")</f>
        <v>model(s)</v>
      </c>
    </row>
    <row r="417" hidden="1">
      <c r="A417" s="1" t="s">
        <v>1394</v>
      </c>
      <c r="B417" s="1" t="s">
        <v>1408</v>
      </c>
      <c r="C417" s="1" t="s">
        <v>1409</v>
      </c>
      <c r="D417" s="1" t="s">
        <v>1026</v>
      </c>
      <c r="E417" s="1" t="s">
        <v>1410</v>
      </c>
      <c r="F417" s="14" t="s">
        <v>1411</v>
      </c>
      <c r="G417" s="1" t="s">
        <v>39</v>
      </c>
      <c r="H417" s="15" t="s">
        <v>1399</v>
      </c>
      <c r="J417" s="8" t="str">
        <f>IFERROR(__xludf.DUMMYFUNCTION("IF(ISBLANK(F417),""NA"", VLOOKUP(F417,IMPORTRANGE(""https://docs.google.com/spreadsheets/d/1EdCvim__xyxvoo9WoburDTzYylznTCOJBHcnu7eurMw/edit?gid=15948134#gid=15948134"", ""Purpose!A1:B1000""),2,FALSE()))"),"to evaluate model(s) functionally (e.g., accuracy)")</f>
        <v>to evaluate model(s) functionally (e.g., accuracy)</v>
      </c>
      <c r="K417" s="8" t="str">
        <f>IFERROR(__xludf.DUMMYFUNCTION("IF(ISBLANK(E417),""NA"", VLOOKUP(E417,IMPORTRANGE(""https://docs.google.com/spreadsheets/d/1EdCvim__xyxvoo9WoburDTzYylznTCOJBHcnu7eurMw/edit?gid=15948134#gid=15948134"", ""Technique!A1:B2000""),2,FALSE()))"),"compute metrics (i.e., Root Mean Square Error and Mean Absolute Error)")</f>
        <v>compute metrics (i.e., Root Mean Square Error and Mean Absolute Error)</v>
      </c>
      <c r="L417" s="8" t="str">
        <f>IFERROR(__xludf.DUMMYFUNCTION("IF(ISBLANK(D417),""NA"", VLOOKUP(D417,IMPORTRANGE(""https://docs.google.com/spreadsheets/d/1EdCvim__xyxvoo9WoburDTzYylznTCOJBHcnu7eurMw/edit?gid=15948134#gid=15948134"", ""Input!A1:B2000""),2,FALSE()))"),"data + model(s)")</f>
        <v>data + model(s)</v>
      </c>
    </row>
    <row r="418" hidden="1">
      <c r="A418" s="1" t="s">
        <v>1394</v>
      </c>
      <c r="B418" s="1">
        <v>12.0</v>
      </c>
      <c r="C418" s="1" t="s">
        <v>1412</v>
      </c>
      <c r="D418" s="1" t="s">
        <v>1401</v>
      </c>
      <c r="E418" s="15" t="s">
        <v>1413</v>
      </c>
      <c r="F418" s="14" t="s">
        <v>1414</v>
      </c>
      <c r="G418" s="1" t="s">
        <v>54</v>
      </c>
      <c r="H418" s="15" t="s">
        <v>1399</v>
      </c>
      <c r="J418" s="8" t="str">
        <f>IFERROR(__xludf.DUMMYFUNCTION("IF(ISBLANK(F418),""NA"", VLOOKUP(F418,IMPORTRANGE(""https://docs.google.com/spreadsheets/d/1EdCvim__xyxvoo9WoburDTzYylznTCOJBHcnu7eurMw/edit?gid=15948134#gid=15948134"", ""Purpose!A1:B1000""),2,FALSE()))"),"to visualize results (i.e., MAE and RMSE)")</f>
        <v>to visualize results (i.e., MAE and RMSE)</v>
      </c>
      <c r="K418" s="8" t="str">
        <f>IFERROR(__xludf.DUMMYFUNCTION("IF(ISBLANK(E418),""NA"", VLOOKUP(E418,IMPORTRANGE(""https://docs.google.com/spreadsheets/d/1EdCvim__xyxvoo9WoburDTzYylznTCOJBHcnu7eurMw/edit?gid=15948134#gid=15948134"", ""Technique!A1:B2000""),2,FALSE()))"),"plot results (i.e., scatterplots)")</f>
        <v>plot results (i.e., scatterplots)</v>
      </c>
      <c r="L418" s="8" t="str">
        <f>IFERROR(__xludf.DUMMYFUNCTION("IF(ISBLANK(D418),""NA"", VLOOKUP(D418,IMPORTRANGE(""https://docs.google.com/spreadsheets/d/1EdCvim__xyxvoo9WoburDTzYylznTCOJBHcnu7eurMw/edit?gid=15948134#gid=15948134"", ""Input!A1:B2000""),2,FALSE()))"),"time series data")</f>
        <v>time series data</v>
      </c>
    </row>
    <row r="419" hidden="1">
      <c r="A419" s="1" t="s">
        <v>1394</v>
      </c>
      <c r="B419" s="1" t="s">
        <v>1415</v>
      </c>
      <c r="C419" s="1" t="s">
        <v>1412</v>
      </c>
      <c r="D419" s="1" t="s">
        <v>1401</v>
      </c>
      <c r="E419" s="1" t="s">
        <v>1416</v>
      </c>
      <c r="F419" s="14" t="s">
        <v>1417</v>
      </c>
      <c r="G419" s="1" t="s">
        <v>39</v>
      </c>
      <c r="H419" s="15" t="s">
        <v>1399</v>
      </c>
      <c r="J419" s="8" t="str">
        <f>IFERROR(__xludf.DUMMYFUNCTION("IF(ISBLANK(F419),""NA"", VLOOKUP(F419,IMPORTRANGE(""https://docs.google.com/spreadsheets/d/1EdCvim__xyxvoo9WoburDTzYylznTCOJBHcnu7eurMw/edit?gid=15948134#gid=15948134"", ""Purpose!A1:B1000""),2,FALSE()))"),"to evaluate model(s) functionally (e.g., accuracy)")</f>
        <v>to evaluate model(s) functionally (e.g., accuracy)</v>
      </c>
      <c r="K419" s="8" t="str">
        <f>IFERROR(__xludf.DUMMYFUNCTION("IF(ISBLANK(E419),""NA"", VLOOKUP(E419,IMPORTRANGE(""https://docs.google.com/spreadsheets/d/1EdCvim__xyxvoo9WoburDTzYylznTCOJBHcnu7eurMw/edit?gid=15948134#gid=15948134"", ""Technique!A1:B2000""),2,FALSE()))"),"cross validation")</f>
        <v>cross validation</v>
      </c>
      <c r="L419" s="8" t="str">
        <f>IFERROR(__xludf.DUMMYFUNCTION("IF(ISBLANK(D419),""NA"", VLOOKUP(D419,IMPORTRANGE(""https://docs.google.com/spreadsheets/d/1EdCvim__xyxvoo9WoburDTzYylznTCOJBHcnu7eurMw/edit?gid=15948134#gid=15948134"", ""Input!A1:B2000""),2,FALSE()))"),"time series data")</f>
        <v>time series data</v>
      </c>
    </row>
    <row r="420" hidden="1">
      <c r="A420" s="1" t="s">
        <v>1394</v>
      </c>
      <c r="B420" s="1">
        <v>5.0</v>
      </c>
      <c r="C420" s="1" t="s">
        <v>1418</v>
      </c>
      <c r="D420" s="1" t="s">
        <v>1026</v>
      </c>
      <c r="E420" s="1" t="s">
        <v>1419</v>
      </c>
      <c r="F420" s="14" t="s">
        <v>1420</v>
      </c>
      <c r="G420" s="1" t="s">
        <v>39</v>
      </c>
      <c r="H420" s="15" t="s">
        <v>1399</v>
      </c>
      <c r="J420" s="8" t="str">
        <f>IFERROR(__xludf.DUMMYFUNCTION("IF(ISBLANK(F420),""NA"", VLOOKUP(F420,IMPORTRANGE(""https://docs.google.com/spreadsheets/d/1EdCvim__xyxvoo9WoburDTzYylznTCOJBHcnu7eurMw/edit?gid=15948134#gid=15948134"", ""Purpose!A1:B1000""),2,FALSE()))"),"to evaluate model(s) functionally (e.g., accuracy)")</f>
        <v>to evaluate model(s) functionally (e.g., accuracy)</v>
      </c>
      <c r="K420" s="8" t="str">
        <f>IFERROR(__xludf.DUMMYFUNCTION("IF(ISBLANK(E420),""NA"", VLOOKUP(E420,IMPORTRANGE(""https://docs.google.com/spreadsheets/d/1EdCvim__xyxvoo9WoburDTzYylznTCOJBHcnu7eurMw/edit?gid=15948134#gid=15948134"", ""Technique!A1:B2000""),2,FALSE()))"),"compare with baseline model(s), compare specific characteristics (i.e., performance with time series forecasting)")</f>
        <v>compare with baseline model(s), compare specific characteristics (i.e., performance with time series forecasting)</v>
      </c>
      <c r="L420" s="8" t="str">
        <f>IFERROR(__xludf.DUMMYFUNCTION("IF(ISBLANK(D420),""NA"", VLOOKUP(D420,IMPORTRANGE(""https://docs.google.com/spreadsheets/d/1EdCvim__xyxvoo9WoburDTzYylznTCOJBHcnu7eurMw/edit?gid=15948134#gid=15948134"", ""Input!A1:B2000""),2,FALSE()))"),"data + model(s)")</f>
        <v>data + model(s)</v>
      </c>
    </row>
    <row r="421" hidden="1">
      <c r="A421" s="1" t="s">
        <v>1394</v>
      </c>
      <c r="B421" s="1">
        <v>6.0</v>
      </c>
      <c r="C421" s="1" t="s">
        <v>1418</v>
      </c>
      <c r="D421" s="1" t="s">
        <v>1026</v>
      </c>
      <c r="E421" s="1" t="s">
        <v>1421</v>
      </c>
      <c r="F421" s="14" t="s">
        <v>1422</v>
      </c>
      <c r="G421" s="1" t="s">
        <v>39</v>
      </c>
      <c r="H421" s="15" t="s">
        <v>1399</v>
      </c>
      <c r="J421" s="8" t="str">
        <f>IFERROR(__xludf.DUMMYFUNCTION("IF(ISBLANK(F421),""NA"", VLOOKUP(F421,IMPORTRANGE(""https://docs.google.com/spreadsheets/d/1EdCvim__xyxvoo9WoburDTzYylznTCOJBHcnu7eurMw/edit?gid=15948134#gid=15948134"", ""Purpose!A1:B1000""),2,FALSE()))"),"to evaluate model(s) functional (i.e., performance) and non-functional attributes (i.e., costs. latency)")</f>
        <v>to evaluate model(s) functional (i.e., performance) and non-functional attributes (i.e., costs. latency)</v>
      </c>
      <c r="K421" s="8" t="str">
        <f>IFERROR(__xludf.DUMMYFUNCTION("IF(ISBLANK(E421),""NA"", VLOOKUP(E421,IMPORTRANGE(""https://docs.google.com/spreadsheets/d/1EdCvim__xyxvoo9WoburDTzYylznTCOJBHcnu7eurMw/edit?gid=15948134#gid=15948134"", ""Technique!A1:B2000""),2,FALSE()))"),"compare with baseline model(s), compare specific characteristics (i.e., tactic latency and cost)")</f>
        <v>compare with baseline model(s), compare specific characteristics (i.e., tactic latency and cost)</v>
      </c>
      <c r="L421" s="8" t="str">
        <f>IFERROR(__xludf.DUMMYFUNCTION("IF(ISBLANK(D421),""NA"", VLOOKUP(D421,IMPORTRANGE(""https://docs.google.com/spreadsheets/d/1EdCvim__xyxvoo9WoburDTzYylznTCOJBHcnu7eurMw/edit?gid=15948134#gid=15948134"", ""Input!A1:B2000""),2,FALSE()))"),"data + model(s)")</f>
        <v>data + model(s)</v>
      </c>
    </row>
    <row r="422" hidden="1">
      <c r="A422" s="1" t="s">
        <v>1423</v>
      </c>
      <c r="B422" s="1" t="s">
        <v>1424</v>
      </c>
      <c r="C422" s="1" t="s">
        <v>1425</v>
      </c>
      <c r="D422" s="1" t="s">
        <v>1426</v>
      </c>
      <c r="E422" s="14" t="s">
        <v>1427</v>
      </c>
      <c r="F422" s="14" t="s">
        <v>1428</v>
      </c>
      <c r="G422" s="1" t="s">
        <v>14</v>
      </c>
      <c r="H422" s="15" t="s">
        <v>289</v>
      </c>
      <c r="J422" s="8" t="str">
        <f>IFERROR(__xludf.DUMMYFUNCTION("IF(ISBLANK(F422),""NA"", VLOOKUP(F422,IMPORTRANGE(""https://docs.google.com/spreadsheets/d/1EdCvim__xyxvoo9WoburDTzYylznTCOJBHcnu7eurMw/edit?gid=15948134#gid=15948134"", ""Purpose!A1:B1000""),2,FALSE()))"),"to identify relevant features")</f>
        <v>to identify relevant features</v>
      </c>
      <c r="K422" s="8" t="str">
        <f>IFERROR(__xludf.DUMMYFUNCTION("IF(ISBLANK(E422),""NA"", VLOOKUP(E422,IMPORTRANGE(""https://docs.google.com/spreadsheets/d/1EdCvim__xyxvoo9WoburDTzYylznTCOJBHcnu7eurMw/edit?gid=15948134#gid=15948134"", ""Technique!A1:B2000""),2,FALSE()))"),"identify numeric features that represent existance and usage of elements in code data")</f>
        <v>identify numeric features that represent existance and usage of elements in code data</v>
      </c>
      <c r="L422" s="8" t="str">
        <f>IFERROR(__xludf.DUMMYFUNCTION("IF(ISBLANK(D422),""NA"", VLOOKUP(D422,IMPORTRANGE(""https://docs.google.com/spreadsheets/d/1EdCvim__xyxvoo9WoburDTzYylznTCOJBHcnu7eurMw/edit?gid=15948134#gid=15948134"", ""Input!A1:B2000""),2,FALSE()))"),"code data")</f>
        <v>code data</v>
      </c>
    </row>
    <row r="423" hidden="1">
      <c r="A423" s="1" t="s">
        <v>1423</v>
      </c>
      <c r="B423" s="1" t="s">
        <v>1429</v>
      </c>
      <c r="C423" s="1" t="s">
        <v>1430</v>
      </c>
      <c r="D423" s="1" t="s">
        <v>1431</v>
      </c>
      <c r="E423" s="14" t="s">
        <v>1432</v>
      </c>
      <c r="F423" s="14" t="s">
        <v>1433</v>
      </c>
      <c r="G423" s="1" t="s">
        <v>14</v>
      </c>
      <c r="H423" s="15" t="s">
        <v>289</v>
      </c>
      <c r="J423" s="8" t="str">
        <f>IFERROR(__xludf.DUMMYFUNCTION("IF(ISBLANK(F423),""NA"", VLOOKUP(F423,IMPORTRANGE(""https://docs.google.com/spreadsheets/d/1EdCvim__xyxvoo9WoburDTzYylznTCOJBHcnu7eurMw/edit?gid=15948134#gid=15948134"", ""Purpose!A1:B1000""),2,FALSE()))"),"to reduce dimensionality, removing non relevant ones")</f>
        <v>to reduce dimensionality, removing non relevant ones</v>
      </c>
      <c r="K423" s="8" t="str">
        <f>IFERROR(__xludf.DUMMYFUNCTION("IF(ISBLANK(E423),""NA"", VLOOKUP(E423,IMPORTRANGE(""https://docs.google.com/spreadsheets/d/1EdCvim__xyxvoo9WoburDTzYylznTCOJBHcnu7eurMw/edit?gid=15948134#gid=15948134"", ""Technique!A1:B2000""),2,FALSE()))"),"feature importance with information gain")</f>
        <v>feature importance with information gain</v>
      </c>
      <c r="L423" s="8" t="str">
        <f>IFERROR(__xludf.DUMMYFUNCTION("IF(ISBLANK(D423),""NA"", VLOOKUP(D423,IMPORTRANGE(""https://docs.google.com/spreadsheets/d/1EdCvim__xyxvoo9WoburDTzYylznTCOJBHcnu7eurMw/edit?gid=15948134#gid=15948134"", ""Input!A1:B2000""),2,FALSE()))"),"model(s)' features")</f>
        <v>model(s)' features</v>
      </c>
    </row>
    <row r="424" hidden="1">
      <c r="A424" s="1" t="s">
        <v>1423</v>
      </c>
      <c r="B424" s="1" t="s">
        <v>994</v>
      </c>
      <c r="C424" s="1" t="s">
        <v>1430</v>
      </c>
      <c r="D424" s="1" t="s">
        <v>1434</v>
      </c>
      <c r="E424" s="14" t="s">
        <v>1435</v>
      </c>
      <c r="F424" s="14" t="s">
        <v>1436</v>
      </c>
      <c r="G424" s="1" t="s">
        <v>14</v>
      </c>
      <c r="H424" s="15" t="s">
        <v>289</v>
      </c>
      <c r="J424" s="8" t="str">
        <f>IFERROR(__xludf.DUMMYFUNCTION("IF(ISBLANK(F424),""NA"", VLOOKUP(F424,IMPORTRANGE(""https://docs.google.com/spreadsheets/d/1EdCvim__xyxvoo9WoburDTzYylznTCOJBHcnu7eurMw/edit?gid=15948134#gid=15948134"", ""Purpose!A1:B1000""),2,FALSE()))"),"to normalize the data")</f>
        <v>to normalize the data</v>
      </c>
      <c r="K424" s="8" t="str">
        <f>IFERROR(__xludf.DUMMYFUNCTION("IF(ISBLANK(E424),""NA"", VLOOKUP(E424,IMPORTRANGE(""https://docs.google.com/spreadsheets/d/1EdCvim__xyxvoo9WoburDTzYylznTCOJBHcnu7eurMw/edit?gid=15948134#gid=15948134"", ""Technique!A1:B2000""),2,FALSE()))"),"use normalization, min-max normalization")</f>
        <v>use normalization, min-max normalization</v>
      </c>
      <c r="L424" s="8" t="str">
        <f>IFERROR(__xludf.DUMMYFUNCTION("IF(ISBLANK(D424),""NA"", VLOOKUP(D424,IMPORTRANGE(""https://docs.google.com/spreadsheets/d/1EdCvim__xyxvoo9WoburDTzYylznTCOJBHcnu7eurMw/edit?gid=15948134#gid=15948134"", ""Input!A1:B2000""),2,FALSE()))"),"numeric features (normalized features that represent existance and usage of elements in code data)")</f>
        <v>numeric features (normalized features that represent existance and usage of elements in code data)</v>
      </c>
    </row>
    <row r="425" hidden="1">
      <c r="A425" s="1" t="s">
        <v>1423</v>
      </c>
      <c r="B425" s="1" t="s">
        <v>1437</v>
      </c>
      <c r="C425" s="1" t="s">
        <v>1438</v>
      </c>
      <c r="D425" s="1" t="s">
        <v>1003</v>
      </c>
      <c r="E425" s="16" t="s">
        <v>1439</v>
      </c>
      <c r="F425" s="14" t="s">
        <v>1440</v>
      </c>
      <c r="G425" s="1" t="s">
        <v>54</v>
      </c>
      <c r="H425" s="15" t="s">
        <v>289</v>
      </c>
      <c r="J425" s="8" t="str">
        <f>IFERROR(__xludf.DUMMYFUNCTION("IF(ISBLANK(F425),""NA"", VLOOKUP(F425,IMPORTRANGE(""https://docs.google.com/spreadsheets/d/1EdCvim__xyxvoo9WoburDTzYylznTCOJBHcnu7eurMw/edit?gid=15948134#gid=15948134"", ""Purpose!A1:B1000""),2,FALSE()))"),"to train a model for prediction tasks (i.e., probabilities to trigger a bug)")</f>
        <v>to train a model for prediction tasks (i.e., probabilities to trigger a bug)</v>
      </c>
      <c r="K425" s="8" t="str">
        <f>IFERROR(__xludf.DUMMYFUNCTION("IF(ISBLANK(E425),""NA"", VLOOKUP(E425,IMPORTRANGE(""https://docs.google.com/spreadsheets/d/1EdCvim__xyxvoo9WoburDTzYylznTCOJBHcnu7eurMw/edit?gid=15948134#gid=15948134"", ""Technique!A1:B2000""),2,FALSE()))"),"use support vector machines with sequential minimal optimization")</f>
        <v>use support vector machines with sequential minimal optimization</v>
      </c>
      <c r="L425" s="8" t="str">
        <f>IFERROR(__xludf.DUMMYFUNCTION("IF(ISBLANK(D425),""NA"", VLOOKUP(D425,IMPORTRANGE(""https://docs.google.com/spreadsheets/d/1EdCvim__xyxvoo9WoburDTzYylznTCOJBHcnu7eurMw/edit?gid=15948134#gid=15948134"", ""Input!A1:B2000""),2,FALSE()))"),"model(s)' features")</f>
        <v>model(s)' features</v>
      </c>
    </row>
    <row r="426" hidden="1">
      <c r="A426" s="1" t="s">
        <v>1423</v>
      </c>
      <c r="B426" s="1" t="s">
        <v>1441</v>
      </c>
      <c r="C426" s="1" t="s">
        <v>1442</v>
      </c>
      <c r="D426" s="1" t="s">
        <v>1443</v>
      </c>
      <c r="E426" s="16" t="s">
        <v>1444</v>
      </c>
      <c r="F426" s="14" t="s">
        <v>1445</v>
      </c>
      <c r="G426" s="1" t="s">
        <v>54</v>
      </c>
      <c r="H426" s="15" t="s">
        <v>289</v>
      </c>
      <c r="J426" s="8" t="str">
        <f>IFERROR(__xludf.DUMMYFUNCTION("IF(ISBLANK(F426),""NA"", VLOOKUP(F426,IMPORTRANGE(""https://docs.google.com/spreadsheets/d/1EdCvim__xyxvoo9WoburDTzYylznTCOJBHcnu7eurMw/edit?gid=15948134#gid=15948134"", ""Purpose!A1:B1000""),2,FALSE()))"),"to train a model for prediction tasks (i.e., execution time)")</f>
        <v>to train a model for prediction tasks (i.e., execution time)</v>
      </c>
      <c r="K426" s="8" t="str">
        <f>IFERROR(__xludf.DUMMYFUNCTION("IF(ISBLANK(E426),""NA"", VLOOKUP(E426,IMPORTRANGE(""https://docs.google.com/spreadsheets/d/1EdCvim__xyxvoo9WoburDTzYylznTCOJBHcnu7eurMw/edit?gid=15948134#gid=15948134"", ""Technique!A1:B2000""),2,FALSE()))"),"use Guassian process (regression)")</f>
        <v>use Guassian process (regression)</v>
      </c>
      <c r="L426" s="8" t="str">
        <f>IFERROR(__xludf.DUMMYFUNCTION("IF(ISBLANK(D426),""NA"", VLOOKUP(D426,IMPORTRANGE(""https://docs.google.com/spreadsheets/d/1EdCvim__xyxvoo9WoburDTzYylznTCOJBHcnu7eurMw/edit?gid=15948134#gid=15948134"", ""Input!A1:B2000""),2,FALSE()))"),"numeric features (normalized features that represent existance and usage of elements in code data)")</f>
        <v>numeric features (normalized features that represent existance and usage of elements in code data)</v>
      </c>
    </row>
    <row r="427" hidden="1">
      <c r="A427" s="1" t="s">
        <v>1423</v>
      </c>
      <c r="B427" s="1" t="s">
        <v>1446</v>
      </c>
      <c r="C427" s="1" t="s">
        <v>1447</v>
      </c>
      <c r="D427" s="1" t="s">
        <v>33</v>
      </c>
      <c r="E427" s="14" t="s">
        <v>1448</v>
      </c>
      <c r="F427" s="14" t="s">
        <v>1449</v>
      </c>
      <c r="G427" s="1" t="s">
        <v>14</v>
      </c>
      <c r="H427" s="15" t="s">
        <v>289</v>
      </c>
      <c r="J427" s="8" t="str">
        <f>IFERROR(__xludf.DUMMYFUNCTION("IF(ISBLANK(F427),""NA"", VLOOKUP(F427,IMPORTRANGE(""https://docs.google.com/spreadsheets/d/1EdCvim__xyxvoo9WoburDTzYylznTCOJBHcnu7eurMw/edit?gid=15948134#gid=15948134"", ""Purpose!A1:B1000""),2,FALSE()))"),"to extract features")</f>
        <v>to extract features</v>
      </c>
      <c r="K427" s="8" t="str">
        <f>IFERROR(__xludf.DUMMYFUNCTION("IF(ISBLANK(E427),""NA"", VLOOKUP(E427,IMPORTRANGE(""https://docs.google.com/spreadsheets/d/1EdCvim__xyxvoo9WoburDTzYylznTCOJBHcnu7eurMw/edit?gid=15948134#gid=15948134"", ""Technique!A1:B2000""),2,FALSE()))"),"feature engineering based on literature")</f>
        <v>feature engineering based on literature</v>
      </c>
      <c r="L427" s="8" t="str">
        <f>IFERROR(__xludf.DUMMYFUNCTION("IF(ISBLANK(D427),""NA"", VLOOKUP(D427,IMPORTRANGE(""https://docs.google.com/spreadsheets/d/1EdCvim__xyxvoo9WoburDTzYylznTCOJBHcnu7eurMw/edit?gid=15948134#gid=15948134"", ""Input!A1:B2000""),2,FALSE()))"),"")</f>
        <v/>
      </c>
    </row>
    <row r="428" hidden="1">
      <c r="A428" s="1" t="s">
        <v>1423</v>
      </c>
      <c r="B428" s="1">
        <v>8.0</v>
      </c>
      <c r="C428" s="1" t="s">
        <v>1450</v>
      </c>
      <c r="D428" s="1" t="s">
        <v>748</v>
      </c>
      <c r="E428" s="14" t="s">
        <v>1451</v>
      </c>
      <c r="F428" s="14" t="s">
        <v>1027</v>
      </c>
      <c r="G428" s="1" t="s">
        <v>39</v>
      </c>
      <c r="H428" s="15" t="s">
        <v>289</v>
      </c>
      <c r="J428" s="8" t="str">
        <f>IFERROR(__xludf.DUMMYFUNCTION("IF(ISBLANK(F428),""NA"", VLOOKUP(F428,IMPORTRANGE(""https://docs.google.com/spreadsheets/d/1EdCvim__xyxvoo9WoburDTzYylznTCOJBHcnu7eurMw/edit?gid=15948134#gid=15948134"", ""Purpose!A1:B1000""),2,FALSE()))"),"to evaluate the model")</f>
        <v>to evaluate the model</v>
      </c>
      <c r="K428" s="8" t="str">
        <f>IFERROR(__xludf.DUMMYFUNCTION("IF(ISBLANK(E428),""NA"", VLOOKUP(E428,IMPORTRANGE(""https://docs.google.com/spreadsheets/d/1EdCvim__xyxvoo9WoburDTzYylznTCOJBHcnu7eurMw/edit?gid=15948134#gid=15948134"", ""Technique!A1:B2000""),2,FALSE()))"),"meassure performance with different subjects and application scenarios")</f>
        <v>meassure performance with different subjects and application scenarios</v>
      </c>
      <c r="L428" s="8" t="str">
        <f>IFERROR(__xludf.DUMMYFUNCTION("IF(ISBLANK(D428),""NA"", VLOOKUP(D428,IMPORTRANGE(""https://docs.google.com/spreadsheets/d/1EdCvim__xyxvoo9WoburDTzYylznTCOJBHcnu7eurMw/edit?gid=15948134#gid=15948134"", ""Input!A1:B2000""),2,FALSE()))"),"data + model(s)")</f>
        <v>data + model(s)</v>
      </c>
    </row>
    <row r="429" hidden="1">
      <c r="A429" s="1" t="s">
        <v>1423</v>
      </c>
      <c r="B429" s="1" t="s">
        <v>1452</v>
      </c>
      <c r="C429" s="1" t="s">
        <v>1453</v>
      </c>
      <c r="D429" s="1" t="s">
        <v>748</v>
      </c>
      <c r="E429" s="14" t="s">
        <v>1454</v>
      </c>
      <c r="F429" s="14" t="s">
        <v>1455</v>
      </c>
      <c r="G429" s="1" t="s">
        <v>39</v>
      </c>
      <c r="H429" s="15" t="s">
        <v>289</v>
      </c>
      <c r="J429" s="8" t="str">
        <f>IFERROR(__xludf.DUMMYFUNCTION("IF(ISBLANK(F429),""NA"", VLOOKUP(F429,IMPORTRANGE(""https://docs.google.com/spreadsheets/d/1EdCvim__xyxvoo9WoburDTzYylznTCOJBHcnu7eurMw/edit?gid=15948134#gid=15948134"", ""Purpose!A1:B1000""),2,FALSE()))"),"to evaluate model(s) non-functional attributes (i.e., execution time of the suggestime tests order)")</f>
        <v>to evaluate model(s) non-functional attributes (i.e., execution time of the suggestime tests order)</v>
      </c>
      <c r="K429" s="8" t="str">
        <f>IFERROR(__xludf.DUMMYFUNCTION("IF(ISBLANK(E429),""NA"", VLOOKUP(E429,IMPORTRANGE(""https://docs.google.com/spreadsheets/d/1EdCvim__xyxvoo9WoburDTzYylznTCOJBHcnu7eurMw/edit?gid=15948134#gid=15948134"", ""Technique!A1:B2000""),2,FALSE()))"),"compare with baseline model(s), state-of-the-art baselines non ml (random baseline, Adaptive random prioritization), shallow ml (Token-vector based prioritization, uses PCA)")</f>
        <v>compare with baseline model(s), state-of-the-art baselines non ml (random baseline, Adaptive random prioritization), shallow ml (Token-vector based prioritization, uses PCA)</v>
      </c>
      <c r="L429" s="8" t="str">
        <f>IFERROR(__xludf.DUMMYFUNCTION("IF(ISBLANK(D429),""NA"", VLOOKUP(D429,IMPORTRANGE(""https://docs.google.com/spreadsheets/d/1EdCvim__xyxvoo9WoburDTzYylznTCOJBHcnu7eurMw/edit?gid=15948134#gid=15948134"", ""Input!A1:B2000""),2,FALSE()))"),"data + model(s)")</f>
        <v>data + model(s)</v>
      </c>
    </row>
    <row r="430" hidden="1">
      <c r="A430" s="1" t="s">
        <v>1423</v>
      </c>
      <c r="B430" s="1">
        <v>21.0</v>
      </c>
      <c r="C430" s="1" t="s">
        <v>1456</v>
      </c>
      <c r="E430" s="14" t="s">
        <v>1457</v>
      </c>
      <c r="F430" s="14" t="s">
        <v>1458</v>
      </c>
      <c r="G430" s="1" t="s">
        <v>39</v>
      </c>
      <c r="H430" s="15" t="s">
        <v>289</v>
      </c>
      <c r="J430" s="8" t="str">
        <f>IFERROR(__xludf.DUMMYFUNCTION("IF(ISBLANK(F430),""NA"", VLOOKUP(F430,IMPORTRANGE(""https://docs.google.com/spreadsheets/d/1EdCvim__xyxvoo9WoburDTzYylznTCOJBHcnu7eurMw/edit?gid=15948134#gid=15948134"", ""Purpose!A1:B1000""),2,FALSE()))"),"to understand how different components and/or data affect the model results")</f>
        <v>to understand how different components and/or data affect the model results</v>
      </c>
      <c r="K430" s="8" t="str">
        <f>IFERROR(__xludf.DUMMYFUNCTION("IF(ISBLANK(E430),""NA"", VLOOKUP(E430,IMPORTRANGE(""https://docs.google.com/spreadsheets/d/1EdCvim__xyxvoo9WoburDTzYylznTCOJBHcnu7eurMw/edit?gid=15948134#gid=15948134"", ""Technique!A1:B2000""),2,FALSE()))"),"ablation study (removing parts of data and components)")</f>
        <v>ablation study (removing parts of data and components)</v>
      </c>
      <c r="L430" s="8" t="str">
        <f>IFERROR(__xludf.DUMMYFUNCTION("IF(ISBLANK(D430),""NA"", VLOOKUP(D430,IMPORTRANGE(""https://docs.google.com/spreadsheets/d/1EdCvim__xyxvoo9WoburDTzYylznTCOJBHcnu7eurMw/edit?gid=15948134#gid=15948134"", ""Input!A1:B2000""),2,FALSE()))"),"NA")</f>
        <v>NA</v>
      </c>
    </row>
    <row r="431" hidden="1">
      <c r="A431" s="1" t="s">
        <v>1423</v>
      </c>
      <c r="B431" s="1" t="s">
        <v>1459</v>
      </c>
      <c r="C431" s="1" t="s">
        <v>1460</v>
      </c>
      <c r="D431" s="1" t="s">
        <v>748</v>
      </c>
      <c r="E431" s="14" t="s">
        <v>1461</v>
      </c>
      <c r="F431" s="14" t="s">
        <v>716</v>
      </c>
      <c r="G431" s="1" t="s">
        <v>39</v>
      </c>
      <c r="H431" s="15" t="s">
        <v>289</v>
      </c>
      <c r="J431" s="8" t="str">
        <f>IFERROR(__xludf.DUMMYFUNCTION("IF(ISBLANK(F431),""NA"", VLOOKUP(F431,IMPORTRANGE(""https://docs.google.com/spreadsheets/d/1EdCvim__xyxvoo9WoburDTzYylznTCOJBHcnu7eurMw/edit?gid=15948134#gid=15948134"", ""Purpose!A1:B1000""),2,FALSE()))"),"to evaluate model(s) functionally (e.g., accuracy)")</f>
        <v>to evaluate model(s) functionally (e.g., accuracy)</v>
      </c>
      <c r="K431" s="8" t="str">
        <f>IFERROR(__xludf.DUMMYFUNCTION("IF(ISBLANK(E431),""NA"", VLOOKUP(E431,IMPORTRANGE(""https://docs.google.com/spreadsheets/d/1EdCvim__xyxvoo9WoburDTzYylznTCOJBHcnu7eurMw/edit?gid=15948134#gid=15948134"", ""Technique!A1:B2000""),2,FALSE()))"),"compute metrics (i.e., speedup@N)")</f>
        <v>compute metrics (i.e., speedup@N)</v>
      </c>
      <c r="L431" s="8" t="str">
        <f>IFERROR(__xludf.DUMMYFUNCTION("IF(ISBLANK(D431),""NA"", VLOOKUP(D431,IMPORTRANGE(""https://docs.google.com/spreadsheets/d/1EdCvim__xyxvoo9WoburDTzYylznTCOJBHcnu7eurMw/edit?gid=15948134#gid=15948134"", ""Input!A1:B2000""),2,FALSE()))"),"data + model(s)")</f>
        <v>data + model(s)</v>
      </c>
    </row>
    <row r="432" hidden="1">
      <c r="A432" s="1" t="s">
        <v>1423</v>
      </c>
      <c r="B432" s="1" t="s">
        <v>1462</v>
      </c>
      <c r="C432" s="1" t="s">
        <v>1463</v>
      </c>
      <c r="D432" s="1" t="s">
        <v>748</v>
      </c>
      <c r="E432" s="14" t="s">
        <v>1464</v>
      </c>
      <c r="F432" s="14" t="s">
        <v>1465</v>
      </c>
      <c r="G432" s="1" t="s">
        <v>39</v>
      </c>
      <c r="H432" s="15" t="s">
        <v>289</v>
      </c>
      <c r="J432" s="8" t="str">
        <f>IFERROR(__xludf.DUMMYFUNCTION("IF(ISBLANK(F432),""NA"", VLOOKUP(F432,IMPORTRANGE(""https://docs.google.com/spreadsheets/d/1EdCvim__xyxvoo9WoburDTzYylznTCOJBHcnu7eurMw/edit?gid=15948134#gid=15948134"", ""Purpose!A1:B1000""),2,FALSE()))"),"to account randomeness of nondeterministic process")</f>
        <v>to account randomeness of nondeterministic process</v>
      </c>
      <c r="K432" s="8" t="str">
        <f>IFERROR(__xludf.DUMMYFUNCTION("IF(ISBLANK(E432),""NA"", VLOOKUP(E432,IMPORTRANGE(""https://docs.google.com/spreadsheets/d/1EdCvim__xyxvoo9WoburDTzYylznTCOJBHcnu7eurMw/edit?gid=15948134#gid=15948134"", ""Technique!A1:B2000""),2,FALSE()))"),"multiple runs/experiments")</f>
        <v>multiple runs/experiments</v>
      </c>
      <c r="L432" s="8" t="str">
        <f>IFERROR(__xludf.DUMMYFUNCTION("IF(ISBLANK(D432),""NA"", VLOOKUP(D432,IMPORTRANGE(""https://docs.google.com/spreadsheets/d/1EdCvim__xyxvoo9WoburDTzYylznTCOJBHcnu7eurMw/edit?gid=15948134#gid=15948134"", ""Input!A1:B2000""),2,FALSE()))"),"data + model(s)")</f>
        <v>data + model(s)</v>
      </c>
    </row>
    <row r="433" hidden="1">
      <c r="A433" s="1" t="s">
        <v>1423</v>
      </c>
      <c r="B433" s="1">
        <v>25.0</v>
      </c>
      <c r="C433" s="1" t="s">
        <v>1466</v>
      </c>
      <c r="D433" s="1" t="s">
        <v>1467</v>
      </c>
      <c r="E433" s="14" t="s">
        <v>1468</v>
      </c>
      <c r="F433" s="14" t="s">
        <v>1469</v>
      </c>
      <c r="G433" s="1" t="s">
        <v>39</v>
      </c>
      <c r="H433" s="15" t="s">
        <v>289</v>
      </c>
      <c r="J433" s="8" t="str">
        <f>IFERROR(__xludf.DUMMYFUNCTION("IF(ISBLANK(F433),""NA"", VLOOKUP(F433,IMPORTRANGE(""https://docs.google.com/spreadsheets/d/1EdCvim__xyxvoo9WoburDTzYylznTCOJBHcnu7eurMw/edit?gid=15948134#gid=15948134"", ""Purpose!A1:B1000""),2,FALSE()))"),"to understand statistical significance")</f>
        <v>to understand statistical significance</v>
      </c>
      <c r="K433" s="8" t="str">
        <f>IFERROR(__xludf.DUMMYFUNCTION("IF(ISBLANK(E433),""NA"", VLOOKUP(E433,IMPORTRANGE(""https://docs.google.com/spreadsheets/d/1EdCvim__xyxvoo9WoburDTzYylznTCOJBHcnu7eurMw/edit?gid=15948134#gid=15948134"", ""Technique!A1:B2000""),2,FALSE()))"),"statistical test (Wilcoxon signed-rank test)")</f>
        <v>statistical test (Wilcoxon signed-rank test)</v>
      </c>
      <c r="L433" s="8" t="str">
        <f>IFERROR(__xludf.DUMMYFUNCTION("IF(ISBLANK(D433),""NA"", VLOOKUP(D433,IMPORTRANGE(""https://docs.google.com/spreadsheets/d/1EdCvim__xyxvoo9WoburDTzYylznTCOJBHcnu7eurMw/edit?gid=15948134#gid=15948134"", ""Input!A1:B2000""),2,FALSE()))"),"computed metrics of multiple models")</f>
        <v>computed metrics of multiple models</v>
      </c>
    </row>
    <row r="434" hidden="1">
      <c r="A434" s="1" t="s">
        <v>1470</v>
      </c>
      <c r="B434" s="1">
        <v>1.0</v>
      </c>
      <c r="C434" s="1" t="s">
        <v>1471</v>
      </c>
      <c r="D434" s="1" t="s">
        <v>1472</v>
      </c>
      <c r="E434" s="16" t="s">
        <v>1473</v>
      </c>
      <c r="F434" s="14" t="s">
        <v>1474</v>
      </c>
      <c r="G434" s="1" t="s">
        <v>20</v>
      </c>
      <c r="H434" s="15" t="s">
        <v>1475</v>
      </c>
      <c r="J434" s="8" t="str">
        <f>IFERROR(__xludf.DUMMYFUNCTION("IF(ISBLANK(F434),""NA"", VLOOKUP(F434,IMPORTRANGE(""https://docs.google.com/spreadsheets/d/1EdCvim__xyxvoo9WoburDTzYylznTCOJBHcnu7eurMw/edit?gid=15948134#gid=15948134"", ""Purpose!A1:B1000""),2,FALSE()))"),"to remove the noise in data")</f>
        <v>to remove the noise in data</v>
      </c>
      <c r="K434" s="8" t="str">
        <f>IFERROR(__xludf.DUMMYFUNCTION("IF(ISBLANK(E434),""NA"", VLOOKUP(E434,IMPORTRANGE(""https://docs.google.com/spreadsheets/d/1EdCvim__xyxvoo9WoburDTzYylznTCOJBHcnu7eurMw/edit?gid=15948134#gid=15948134"", ""Technique!A1:B2000""),2,FALSE()))"),"use normalization")</f>
        <v>use normalization</v>
      </c>
      <c r="L434" s="8" t="str">
        <f>IFERROR(__xludf.DUMMYFUNCTION("IF(ISBLANK(D434),""NA"", VLOOKUP(D434,IMPORTRANGE(""https://docs.google.com/spreadsheets/d/1EdCvim__xyxvoo9WoburDTzYylznTCOJBHcnu7eurMw/edit?gid=15948134#gid=15948134"", ""Input!A1:B2000""),2,FALSE()))"),"numeric data (performance measurements)")</f>
        <v>numeric data (performance measurements)</v>
      </c>
    </row>
    <row r="435" hidden="1">
      <c r="A435" s="1" t="s">
        <v>1470</v>
      </c>
      <c r="B435" s="1">
        <v>2.0</v>
      </c>
      <c r="C435" s="1" t="s">
        <v>1471</v>
      </c>
      <c r="D435" s="1" t="s">
        <v>1476</v>
      </c>
      <c r="E435" s="16" t="s">
        <v>1477</v>
      </c>
      <c r="F435" s="14" t="s">
        <v>1478</v>
      </c>
      <c r="G435" s="1" t="s">
        <v>20</v>
      </c>
      <c r="H435" s="15" t="s">
        <v>1475</v>
      </c>
      <c r="J435" s="8" t="str">
        <f>IFERROR(__xludf.DUMMYFUNCTION("IF(ISBLANK(F435),""NA"", VLOOKUP(F435,IMPORTRANGE(""https://docs.google.com/spreadsheets/d/1EdCvim__xyxvoo9WoburDTzYylznTCOJBHcnu7eurMw/edit?gid=15948134#gid=15948134"", ""Purpose!A1:B1000""),2,FALSE()))"),"to transform the data into the required input (association rule mining)")</f>
        <v>to transform the data into the required input (association rule mining)</v>
      </c>
      <c r="K435" s="8" t="str">
        <f>IFERROR(__xludf.DUMMYFUNCTION("IF(ISBLANK(E435),""NA"", VLOOKUP(E435,IMPORTRANGE(""https://docs.google.com/spreadsheets/d/1EdCvim__xyxvoo9WoburDTzYylznTCOJBHcnu7eurMw/edit?gid=15948134#gid=15948134"", ""Technique!A1:B2000""),2,FALSE()))"),"discretize using Equal Width Intervals Binning")</f>
        <v>discretize using Equal Width Intervals Binning</v>
      </c>
      <c r="L435" s="8" t="str">
        <f>IFERROR(__xludf.DUMMYFUNCTION("IF(ISBLANK(D435),""NA"", VLOOKUP(D435,IMPORTRANGE(""https://docs.google.com/spreadsheets/d/1EdCvim__xyxvoo9WoburDTzYylznTCOJBHcnu7eurMw/edit?gid=15948134#gid=15948134"", ""Input!A1:B2000""),2,FALSE()))"),"numeric data (normalized performance results)")</f>
        <v>numeric data (normalized performance results)</v>
      </c>
    </row>
    <row r="436" hidden="1">
      <c r="A436" s="1" t="s">
        <v>1470</v>
      </c>
      <c r="B436" s="1">
        <v>10.0</v>
      </c>
      <c r="C436" s="1" t="s">
        <v>1479</v>
      </c>
      <c r="E436" s="16" t="s">
        <v>1480</v>
      </c>
      <c r="F436" s="14" t="s">
        <v>1480</v>
      </c>
      <c r="G436" s="1" t="s">
        <v>54</v>
      </c>
      <c r="H436" s="15" t="s">
        <v>1475</v>
      </c>
      <c r="J436" s="8" t="str">
        <f>IFERROR(__xludf.DUMMYFUNCTION("IF(ISBLANK(F436),""NA"", VLOOKUP(F436,IMPORTRANGE(""https://docs.google.com/spreadsheets/d/1EdCvim__xyxvoo9WoburDTzYylznTCOJBHcnu7eurMw/edit?gid=15948134#gid=15948134"", ""Purpose!A1:B1000""),2,FALSE()))"),"to define the the strength and relevance of association rules")</f>
        <v>to define the the strength and relevance of association rules</v>
      </c>
      <c r="K436" s="8" t="str">
        <f>IFERROR(__xludf.DUMMYFUNCTION("IF(ISBLANK(E436),""NA"", VLOOKUP(E436,IMPORTRANGE(""https://docs.google.com/spreadsheets/d/1EdCvim__xyxvoo9WoburDTzYylznTCOJBHcnu7eurMw/edit?gid=15948134#gid=15948134"", ""Technique!A1:B2000""),2,FALSE()))"),"set a minimum threshold for confidence and support, default values")</f>
        <v>set a minimum threshold for confidence and support, default values</v>
      </c>
      <c r="L436" s="8" t="str">
        <f>IFERROR(__xludf.DUMMYFUNCTION("IF(ISBLANK(D436),""NA"", VLOOKUP(D436,IMPORTRANGE(""https://docs.google.com/spreadsheets/d/1EdCvim__xyxvoo9WoburDTzYylznTCOJBHcnu7eurMw/edit?gid=15948134#gid=15948134"", ""Input!A1:B2000""),2,FALSE()))"),"NA")</f>
        <v>NA</v>
      </c>
    </row>
    <row r="437" hidden="1">
      <c r="A437" s="1" t="s">
        <v>1470</v>
      </c>
      <c r="B437" s="1">
        <v>3.0</v>
      </c>
      <c r="C437" s="1" t="s">
        <v>1479</v>
      </c>
      <c r="D437" s="1" t="s">
        <v>1481</v>
      </c>
      <c r="E437" s="16" t="s">
        <v>1482</v>
      </c>
      <c r="F437" s="14" t="s">
        <v>1483</v>
      </c>
      <c r="G437" s="1" t="s">
        <v>54</v>
      </c>
      <c r="H437" s="15" t="s">
        <v>1475</v>
      </c>
      <c r="J437" s="8" t="str">
        <f>IFERROR(__xludf.DUMMYFUNCTION("IF(ISBLANK(F437),""NA"", VLOOKUP(F437,IMPORTRANGE(""https://docs.google.com/spreadsheets/d/1EdCvim__xyxvoo9WoburDTzYylznTCOJBHcnu7eurMw/edit?gid=15948134#gid=15948134"", ""Purpose!A1:B1000""),2,FALSE()))"),"to infer associations between data points (i.e., performance counters)")</f>
        <v>to infer associations between data points (i.e., performance counters)</v>
      </c>
      <c r="K437" s="8" t="str">
        <f>IFERROR(__xludf.DUMMYFUNCTION("IF(ISBLANK(E437),""NA"", VLOOKUP(E437,IMPORTRANGE(""https://docs.google.com/spreadsheets/d/1EdCvim__xyxvoo9WoburDTzYylznTCOJBHcnu7eurMw/edit?gid=15948134#gid=15948134"", ""Technique!A1:B2000""),2,FALSE()))"),"use association rule mining based on support and confidence")</f>
        <v>use association rule mining based on support and confidence</v>
      </c>
      <c r="L437" s="8" t="str">
        <f>IFERROR(__xludf.DUMMYFUNCTION("IF(ISBLANK(D437),""NA"", VLOOKUP(D437,IMPORTRANGE(""https://docs.google.com/spreadsheets/d/1EdCvim__xyxvoo9WoburDTzYylznTCOJBHcnu7eurMw/edit?gid=15948134#gid=15948134"", ""Input!A1:B2000""),2,FALSE()))"),"numeric data (discretized performance results)")</f>
        <v>numeric data (discretized performance results)</v>
      </c>
    </row>
    <row r="438" hidden="1">
      <c r="A438" s="1" t="s">
        <v>1470</v>
      </c>
      <c r="B438" s="1" t="s">
        <v>1484</v>
      </c>
      <c r="C438" s="1" t="s">
        <v>1485</v>
      </c>
      <c r="E438" s="14" t="s">
        <v>1486</v>
      </c>
      <c r="F438" s="14" t="s">
        <v>716</v>
      </c>
      <c r="G438" s="1" t="s">
        <v>39</v>
      </c>
      <c r="H438" s="15" t="s">
        <v>1475</v>
      </c>
      <c r="J438" s="8" t="str">
        <f>IFERROR(__xludf.DUMMYFUNCTION("IF(ISBLANK(F438),""NA"", VLOOKUP(F438,IMPORTRANGE(""https://docs.google.com/spreadsheets/d/1EdCvim__xyxvoo9WoburDTzYylznTCOJBHcnu7eurMw/edit?gid=15948134#gid=15948134"", ""Purpose!A1:B1000""),2,FALSE()))"),"to evaluate model(s) functionally (e.g., accuracy)")</f>
        <v>to evaluate model(s) functionally (e.g., accuracy)</v>
      </c>
      <c r="K438" s="8" t="str">
        <f>IFERROR(__xludf.DUMMYFUNCTION("IF(ISBLANK(E438),""NA"", VLOOKUP(E438,IMPORTRANGE(""https://docs.google.com/spreadsheets/d/1EdCvim__xyxvoo9WoburDTzYylznTCOJBHcnu7eurMw/edit?gid=15948134#gid=15948134"", ""Technique!A1:B2000""),2,FALSE()))"),"compute classical metrics (i.e., Precision, Recall. F-meassure)")</f>
        <v>compute classical metrics (i.e., Precision, Recall. F-meassure)</v>
      </c>
      <c r="L438" s="8" t="str">
        <f>IFERROR(__xludf.DUMMYFUNCTION("IF(ISBLANK(D438),""NA"", VLOOKUP(D438,IMPORTRANGE(""https://docs.google.com/spreadsheets/d/1EdCvim__xyxvoo9WoburDTzYylznTCOJBHcnu7eurMw/edit?gid=15948134#gid=15948134"", ""Input!A1:B2000""),2,FALSE()))"),"NA")</f>
        <v>NA</v>
      </c>
    </row>
    <row r="439" hidden="1">
      <c r="A439" s="1" t="s">
        <v>1470</v>
      </c>
      <c r="B439" s="1">
        <v>4.0</v>
      </c>
      <c r="C439" s="1" t="s">
        <v>1479</v>
      </c>
      <c r="D439" s="1" t="s">
        <v>1487</v>
      </c>
      <c r="E439" s="16" t="s">
        <v>1488</v>
      </c>
      <c r="F439" s="14" t="s">
        <v>1489</v>
      </c>
      <c r="G439" s="1" t="s">
        <v>54</v>
      </c>
      <c r="H439" s="15" t="s">
        <v>1475</v>
      </c>
      <c r="J439" s="8" t="str">
        <f>IFERROR(__xludf.DUMMYFUNCTION("IF(ISBLANK(F439),""NA"", VLOOKUP(F439,IMPORTRANGE(""https://docs.google.com/spreadsheets/d/1EdCvim__xyxvoo9WoburDTzYylznTCOJBHcnu7eurMw/edit?gid=15948134#gid=15948134"", ""Purpose!A1:B1000""),2,FALSE()))"),"to train a model for prediction tasks (i.e., predict performance deviations)")</f>
        <v>to train a model for prediction tasks (i.e., predict performance deviations)</v>
      </c>
      <c r="K439" s="8" t="str">
        <f>IFERROR(__xludf.DUMMYFUNCTION("IF(ISBLANK(E439),""NA"", VLOOKUP(E439,IMPORTRANGE(""https://docs.google.com/spreadsheets/d/1EdCvim__xyxvoo9WoburDTzYylznTCOJBHcnu7eurMw/edit?gid=15948134#gid=15948134"", ""Technique!A1:B2000""),2,FALSE()))"),"ensemble models, bagging of past models")</f>
        <v>ensemble models, bagging of past models</v>
      </c>
      <c r="L439" s="8" t="str">
        <f>IFERROR(__xludf.DUMMYFUNCTION("IF(ISBLANK(D439),""NA"", VLOOKUP(D439,IMPORTRANGE(""https://docs.google.com/spreadsheets/d/1EdCvim__xyxvoo9WoburDTzYylznTCOJBHcnu7eurMw/edit?gid=15948134#gid=15948134"", ""Input!A1:B2000""),2,FALSE()))"),"data (test set) + association rules")</f>
        <v>data (test set) + association rules</v>
      </c>
    </row>
    <row r="440" hidden="1">
      <c r="A440" s="1" t="s">
        <v>1470</v>
      </c>
      <c r="B440" s="1">
        <v>5.0</v>
      </c>
      <c r="C440" s="1" t="s">
        <v>1479</v>
      </c>
      <c r="D440" s="1" t="s">
        <v>1487</v>
      </c>
      <c r="E440" s="16" t="s">
        <v>1490</v>
      </c>
      <c r="F440" s="14" t="s">
        <v>1489</v>
      </c>
      <c r="G440" s="1" t="s">
        <v>54</v>
      </c>
      <c r="H440" s="15" t="s">
        <v>1475</v>
      </c>
      <c r="J440" s="8" t="str">
        <f>IFERROR(__xludf.DUMMYFUNCTION("IF(ISBLANK(F440),""NA"", VLOOKUP(F440,IMPORTRANGE(""https://docs.google.com/spreadsheets/d/1EdCvim__xyxvoo9WoburDTzYylznTCOJBHcnu7eurMw/edit?gid=15948134#gid=15948134"", ""Purpose!A1:B1000""),2,FALSE()))"),"to train a model for prediction tasks (i.e., predict performance deviations)")</f>
        <v>to train a model for prediction tasks (i.e., predict performance deviations)</v>
      </c>
      <c r="K440" s="8" t="str">
        <f>IFERROR(__xludf.DUMMYFUNCTION("IF(ISBLANK(E440),""NA"", VLOOKUP(E440,IMPORTRANGE(""https://docs.google.com/spreadsheets/d/1EdCvim__xyxvoo9WoburDTzYylznTCOJBHcnu7eurMw/edit?gid=15948134#gid=15948134"", ""Technique!A1:B2000""),2,FALSE()))"),"ensemble models, stacking of past models")</f>
        <v>ensemble models, stacking of past models</v>
      </c>
      <c r="L440" s="8" t="str">
        <f>IFERROR(__xludf.DUMMYFUNCTION("IF(ISBLANK(D440),""NA"", VLOOKUP(D440,IMPORTRANGE(""https://docs.google.com/spreadsheets/d/1EdCvim__xyxvoo9WoburDTzYylznTCOJBHcnu7eurMw/edit?gid=15948134#gid=15948134"", ""Input!A1:B2000""),2,FALSE()))"),"data (test set) + association rules")</f>
        <v>data (test set) + association rules</v>
      </c>
    </row>
    <row r="441" hidden="1">
      <c r="A441" s="1" t="s">
        <v>1470</v>
      </c>
      <c r="B441" s="1">
        <v>5.0</v>
      </c>
      <c r="C441" s="1" t="s">
        <v>1479</v>
      </c>
      <c r="D441" s="1" t="s">
        <v>1491</v>
      </c>
      <c r="E441" s="1" t="s">
        <v>1492</v>
      </c>
      <c r="F441" s="14" t="s">
        <v>1493</v>
      </c>
      <c r="G441" s="1" t="s">
        <v>39</v>
      </c>
      <c r="H441" s="15" t="s">
        <v>1475</v>
      </c>
      <c r="J441" s="8" t="str">
        <f>IFERROR(__xludf.DUMMYFUNCTION("IF(ISBLANK(F441),""NA"", VLOOKUP(F441,IMPORTRANGE(""https://docs.google.com/spreadsheets/d/1EdCvim__xyxvoo9WoburDTzYylznTCOJBHcnu7eurMw/edit?gid=15948134#gid=15948134"", ""Purpose!A1:B1000""),2,FALSE()))"),"to report not only the deviation but also how bad it is")</f>
        <v>to report not only the deviation but also how bad it is</v>
      </c>
      <c r="K441" s="8" t="str">
        <f>IFERROR(__xludf.DUMMYFUNCTION("IF(ISBLANK(E441),""NA"", VLOOKUP(E441,IMPORTRANGE(""https://docs.google.com/spreadsheets/d/1EdCvim__xyxvoo9WoburDTzYylznTCOJBHcnu7eurMw/edit?gid=15948134#gid=15948134"", ""Technique!A1:B2000""),2,FALSE()))"),"compute score (i.e., severity of the violation)")</f>
        <v>compute score (i.e., severity of the violation)</v>
      </c>
      <c r="L441" s="8" t="str">
        <f>IFERROR(__xludf.DUMMYFUNCTION("IF(ISBLANK(D441),""NA"", VLOOKUP(D441,IMPORTRANGE(""https://docs.google.com/spreadsheets/d/1EdCvim__xyxvoo9WoburDTzYylznTCOJBHcnu7eurMw/edit?gid=15948134#gid=15948134"", ""Input!A1:B2000""),2,FALSE()))"),"data (test set)")</f>
        <v>data (test set)</v>
      </c>
    </row>
    <row r="442" hidden="1">
      <c r="A442" s="1" t="s">
        <v>1494</v>
      </c>
      <c r="B442" s="1">
        <v>1.0</v>
      </c>
      <c r="C442" s="1" t="s">
        <v>1495</v>
      </c>
      <c r="E442" s="1" t="s">
        <v>1496</v>
      </c>
      <c r="F442" s="14" t="s">
        <v>1497</v>
      </c>
      <c r="G442" s="1" t="s">
        <v>44</v>
      </c>
      <c r="H442" s="15" t="s">
        <v>1498</v>
      </c>
      <c r="J442" s="8" t="str">
        <f>IFERROR(__xludf.DUMMYFUNCTION("IF(ISBLANK(F442),""NA"", VLOOKUP(F442,IMPORTRANGE(""https://docs.google.com/spreadsheets/d/1EdCvim__xyxvoo9WoburDTzYylznTCOJBHcnu7eurMw/edit?gid=15948134#gid=15948134"", ""Purpose!A1:B1000""),2,FALSE()))"),"to collect data, code data")</f>
        <v>to collect data, code data</v>
      </c>
      <c r="K442" s="8" t="str">
        <f>IFERROR(__xludf.DUMMYFUNCTION("IF(ISBLANK(E442),""NA"", VLOOKUP(E442,IMPORTRANGE(""https://docs.google.com/spreadsheets/d/1EdCvim__xyxvoo9WoburDTzYylznTCOJBHcnu7eurMw/edit?gid=15948134#gid=15948134"", ""Technique!A1:B2000""),2,FALSE()))"),"use bug tracking system + private data")</f>
        <v>use bug tracking system + private data</v>
      </c>
      <c r="L442" s="8" t="str">
        <f>IFERROR(__xludf.DUMMYFUNCTION("IF(ISBLANK(D442),""NA"", VLOOKUP(D442,IMPORTRANGE(""https://docs.google.com/spreadsheets/d/1EdCvim__xyxvoo9WoburDTzYylznTCOJBHcnu7eurMw/edit?gid=15948134#gid=15948134"", ""Input!A1:B2000""),2,FALSE()))"),"NA")</f>
        <v>NA</v>
      </c>
    </row>
    <row r="443" hidden="1">
      <c r="A443" s="1" t="s">
        <v>1494</v>
      </c>
      <c r="B443" s="1" t="s">
        <v>1499</v>
      </c>
      <c r="C443" s="1" t="s">
        <v>1495</v>
      </c>
      <c r="E443" s="15" t="s">
        <v>1500</v>
      </c>
      <c r="F443" s="1"/>
      <c r="G443" s="1" t="s">
        <v>20</v>
      </c>
      <c r="H443" s="15" t="s">
        <v>1498</v>
      </c>
      <c r="J443" s="8" t="str">
        <f>IFERROR(__xludf.DUMMYFUNCTION("IF(ISBLANK(F443),""NA"", VLOOKUP(F443,IMPORTRANGE(""https://docs.google.com/spreadsheets/d/1EdCvim__xyxvoo9WoburDTzYylznTCOJBHcnu7eurMw/edit?gid=15948134#gid=15948134"", ""Purpose!A1:B1000""),2,FALSE()))"),"NA")</f>
        <v>NA</v>
      </c>
      <c r="K443" s="8" t="str">
        <f>IFERROR(__xludf.DUMMYFUNCTION("IF(ISBLANK(E443),""NA"", VLOOKUP(E443,IMPORTRANGE(""https://docs.google.com/spreadsheets/d/1EdCvim__xyxvoo9WoburDTzYylznTCOJBHcnu7eurMw/edit?gid=15948134#gid=15948134"", ""Technique!A1:B2000""),2,FALSE()))"),"filter bug reports based on their status + data deplication")</f>
        <v>filter bug reports based on their status + data deplication</v>
      </c>
      <c r="L443" s="8" t="str">
        <f>IFERROR(__xludf.DUMMYFUNCTION("IF(ISBLANK(D443),""NA"", VLOOKUP(D443,IMPORTRANGE(""https://docs.google.com/spreadsheets/d/1EdCvim__xyxvoo9WoburDTzYylznTCOJBHcnu7eurMw/edit?gid=15948134#gid=15948134"", ""Input!A1:B2000""),2,FALSE()))"),"NA")</f>
        <v>NA</v>
      </c>
    </row>
    <row r="444" hidden="1">
      <c r="A444" s="1" t="s">
        <v>1494</v>
      </c>
      <c r="B444" s="1">
        <v>3.0</v>
      </c>
      <c r="C444" s="1" t="s">
        <v>1501</v>
      </c>
      <c r="E444" s="15" t="s">
        <v>1502</v>
      </c>
      <c r="F444" s="14" t="s">
        <v>1503</v>
      </c>
      <c r="G444" s="1" t="s">
        <v>924</v>
      </c>
      <c r="H444" s="15" t="s">
        <v>1498</v>
      </c>
      <c r="J444" s="8" t="str">
        <f>IFERROR(__xludf.DUMMYFUNCTION("IF(ISBLANK(F444),""NA"", VLOOKUP(F444,IMPORTRANGE(""https://docs.google.com/spreadsheets/d/1EdCvim__xyxvoo9WoburDTzYylznTCOJBHcnu7eurMw/edit?gid=15948134#gid=15948134"", ""Purpose!A1:B1000""),2,FALSE()))"),"to describe the model, formally describe the model")</f>
        <v>to describe the model, formally describe the model</v>
      </c>
      <c r="K444" s="8" t="str">
        <f>IFERROR(__xludf.DUMMYFUNCTION("IF(ISBLANK(E444),""NA"", VLOOKUP(E444,IMPORTRANGE(""https://docs.google.com/spreadsheets/d/1EdCvim__xyxvoo9WoburDTzYylznTCOJBHcnu7eurMw/edit?gid=15948134#gid=15948134"", ""Technique!A1:B2000""),2,FALSE()))"),"report model fine details (e.g., ranking internal functions, loss)")</f>
        <v>report model fine details (e.g., ranking internal functions, loss)</v>
      </c>
      <c r="L444" s="8" t="str">
        <f>IFERROR(__xludf.DUMMYFUNCTION("IF(ISBLANK(D444),""NA"", VLOOKUP(D444,IMPORTRANGE(""https://docs.google.com/spreadsheets/d/1EdCvim__xyxvoo9WoburDTzYylznTCOJBHcnu7eurMw/edit?gid=15948134#gid=15948134"", ""Input!A1:B2000""),2,FALSE()))"),"NA")</f>
        <v>NA</v>
      </c>
    </row>
    <row r="445" hidden="1">
      <c r="A445" s="1" t="s">
        <v>1494</v>
      </c>
      <c r="B445" s="1">
        <v>5.0</v>
      </c>
      <c r="C445" s="1" t="s">
        <v>1504</v>
      </c>
      <c r="E445" s="15" t="s">
        <v>1505</v>
      </c>
      <c r="F445" s="14" t="s">
        <v>1506</v>
      </c>
      <c r="G445" s="1" t="s">
        <v>54</v>
      </c>
      <c r="H445" s="15" t="s">
        <v>1498</v>
      </c>
      <c r="J445" s="8" t="str">
        <f>IFERROR(__xludf.DUMMYFUNCTION("IF(ISBLANK(F445),""NA"", VLOOKUP(F445,IMPORTRANGE(""https://docs.google.com/spreadsheets/d/1EdCvim__xyxvoo9WoburDTzYylznTCOJBHcnu7eurMw/edit?gid=15948134#gid=15948134"", ""Purpose!A1:B1000""),2,FALSE()))"),"to train a model for classification tasks (i.e., bug triage)")</f>
        <v>to train a model for classification tasks (i.e., bug triage)</v>
      </c>
      <c r="K445" s="8" t="str">
        <f>IFERROR(__xludf.DUMMYFUNCTION("IF(ISBLANK(E445),""NA"", VLOOKUP(E445,IMPORTRANGE(""https://docs.google.com/spreadsheets/d/1EdCvim__xyxvoo9WoburDTzYylznTCOJBHcnu7eurMw/edit?gid=15948134#gid=15948134"", ""Technique!A1:B2000""),2,FALSE()))"),"use fuzzy set and cache-based modeling (shallow learning)")</f>
        <v>use fuzzy set and cache-based modeling (shallow learning)</v>
      </c>
      <c r="L445" s="8" t="str">
        <f>IFERROR(__xludf.DUMMYFUNCTION("IF(ISBLANK(D445),""NA"", VLOOKUP(D445,IMPORTRANGE(""https://docs.google.com/spreadsheets/d/1EdCvim__xyxvoo9WoburDTzYylznTCOJBHcnu7eurMw/edit?gid=15948134#gid=15948134"", ""Input!A1:B2000""),2,FALSE()))"),"NA")</f>
        <v>NA</v>
      </c>
    </row>
    <row r="446" hidden="1">
      <c r="A446" s="1" t="s">
        <v>1494</v>
      </c>
      <c r="B446" s="1">
        <v>6.0</v>
      </c>
      <c r="C446" s="1" t="s">
        <v>1507</v>
      </c>
      <c r="D446" s="1" t="s">
        <v>1508</v>
      </c>
      <c r="E446" s="1" t="s">
        <v>1509</v>
      </c>
      <c r="F446" s="14" t="s">
        <v>716</v>
      </c>
      <c r="G446" s="1" t="s">
        <v>39</v>
      </c>
      <c r="H446" s="15" t="s">
        <v>1498</v>
      </c>
      <c r="J446" s="8" t="str">
        <f>IFERROR(__xludf.DUMMYFUNCTION("IF(ISBLANK(F446),""NA"", VLOOKUP(F446,IMPORTRANGE(""https://docs.google.com/spreadsheets/d/1EdCvim__xyxvoo9WoburDTzYylznTCOJBHcnu7eurMw/edit?gid=15948134#gid=15948134"", ""Purpose!A1:B1000""),2,FALSE()))"),"to evaluate model(s) functionally (e.g., accuracy)")</f>
        <v>to evaluate model(s) functionally (e.g., accuracy)</v>
      </c>
      <c r="K446" s="8" t="str">
        <f>IFERROR(__xludf.DUMMYFUNCTION("IF(ISBLANK(E446),""NA"", VLOOKUP(E446,IMPORTRANGE(""https://docs.google.com/spreadsheets/d/1EdCvim__xyxvoo9WoburDTzYylznTCOJBHcnu7eurMw/edit?gid=15948134#gid=15948134"", ""Technique!A1:B2000""),2,FALSE()))"),"compute metrics (i.e., accuracy@N)")</f>
        <v>compute metrics (i.e., accuracy@N)</v>
      </c>
      <c r="L446" s="8" t="str">
        <f>IFERROR(__xludf.DUMMYFUNCTION("IF(ISBLANK(D446),""NA"", VLOOKUP(D446,IMPORTRANGE(""https://docs.google.com/spreadsheets/d/1EdCvim__xyxvoo9WoburDTzYylznTCOJBHcnu7eurMw/edit?gid=15948134#gid=15948134"", ""Input!A1:B2000""),2,FALSE()))"),"model(s)' output, bug triage")</f>
        <v>model(s)' output, bug triage</v>
      </c>
    </row>
    <row r="447" hidden="1">
      <c r="A447" s="1" t="s">
        <v>1494</v>
      </c>
      <c r="B447" s="1">
        <v>7.0</v>
      </c>
      <c r="C447" s="1" t="s">
        <v>1510</v>
      </c>
      <c r="D447" s="1" t="s">
        <v>1511</v>
      </c>
      <c r="E447" s="1" t="s">
        <v>1512</v>
      </c>
      <c r="F447" s="14" t="s">
        <v>1513</v>
      </c>
      <c r="G447" s="1" t="s">
        <v>39</v>
      </c>
      <c r="H447" s="15" t="s">
        <v>1498</v>
      </c>
      <c r="J447" s="8" t="str">
        <f>IFERROR(__xludf.DUMMYFUNCTION("IF(ISBLANK(F447),""NA"", VLOOKUP(F447,IMPORTRANGE(""https://docs.google.com/spreadsheets/d/1EdCvim__xyxvoo9WoburDTzYylznTCOJBHcnu7eurMw/edit?gid=15948134#gid=15948134"", ""Purpose!A1:B1000""),2,FALSE()))"),"to evaluate model(s) non-functional attributes (i.e., execution time)")</f>
        <v>to evaluate model(s) non-functional attributes (i.e., execution time)</v>
      </c>
      <c r="K447" s="8" t="str">
        <f>IFERROR(__xludf.DUMMYFUNCTION("IF(ISBLANK(E447),""NA"", VLOOKUP(E447,IMPORTRANGE(""https://docs.google.com/spreadsheets/d/1EdCvim__xyxvoo9WoburDTzYylznTCOJBHcnu7eurMw/edit?gid=15948134#gid=15948134"", ""Technique!A1:B2000""),2,FALSE()))"),"compute execution time")</f>
        <v>compute execution time</v>
      </c>
      <c r="L447" s="8" t="str">
        <f>IFERROR(__xludf.DUMMYFUNCTION("IF(ISBLANK(D447),""NA"", VLOOKUP(D447,IMPORTRANGE(""https://docs.google.com/spreadsheets/d/1EdCvim__xyxvoo9WoburDTzYylznTCOJBHcnu7eurMw/edit?gid=15948134#gid=15948134"", ""Input!A1:B2000""),2,FALSE()))"),"data + model(s)")</f>
        <v>data + model(s)</v>
      </c>
    </row>
    <row r="448" hidden="1">
      <c r="A448" s="1" t="s">
        <v>1494</v>
      </c>
      <c r="B448" s="1" t="s">
        <v>1514</v>
      </c>
      <c r="C448" s="1" t="s">
        <v>1515</v>
      </c>
      <c r="D448" s="1" t="s">
        <v>1516</v>
      </c>
      <c r="E448" s="1" t="s">
        <v>1517</v>
      </c>
      <c r="F448" s="14" t="s">
        <v>1518</v>
      </c>
      <c r="G448" s="1" t="s">
        <v>39</v>
      </c>
      <c r="H448" s="15" t="s">
        <v>1498</v>
      </c>
      <c r="J448" s="8" t="str">
        <f>IFERROR(__xludf.DUMMYFUNCTION("IF(ISBLANK(F448),""NA"", VLOOKUP(F448,IMPORTRANGE(""https://docs.google.com/spreadsheets/d/1EdCvim__xyxvoo9WoburDTzYylznTCOJBHcnu7eurMw/edit?gid=15948134#gid=15948134"", ""Purpose!A1:B1000""),2,FALSE()))"),"to evaluate model(s) functionally (e.g., accuracy) against others")</f>
        <v>to evaluate model(s) functionally (e.g., accuracy) against others</v>
      </c>
      <c r="K448" s="8" t="str">
        <f>IFERROR(__xludf.DUMMYFUNCTION("IF(ISBLANK(E448),""NA"", VLOOKUP(E448,IMPORTRANGE(""https://docs.google.com/spreadsheets/d/1EdCvim__xyxvoo9WoburDTzYylznTCOJBHcnu7eurMw/edit?gid=15948134#gid=15948134"", ""Technique!A1:B2000""),2,FALSE()))"),"compare with baseline model(s), state-of-the-art baselines shallow learning (Naive Bayes, SVM, and C4.5, Bayesian Network, vector-space model)")</f>
        <v>compare with baseline model(s), state-of-the-art baselines shallow learning (Naive Bayes, SVM, and C4.5, Bayesian Network, vector-space model)</v>
      </c>
      <c r="L448" s="8" t="str">
        <f>IFERROR(__xludf.DUMMYFUNCTION("IF(ISBLANK(D448),""NA"", VLOOKUP(D448,IMPORTRANGE(""https://docs.google.com/spreadsheets/d/1EdCvim__xyxvoo9WoburDTzYylznTCOJBHcnu7eurMw/edit?gid=15948134#gid=15948134"", ""Input!A1:B2000""),2,FALSE()))"),"data")</f>
        <v>data</v>
      </c>
    </row>
    <row r="449" hidden="1">
      <c r="A449" s="1" t="s">
        <v>1519</v>
      </c>
      <c r="B449" s="1" t="s">
        <v>515</v>
      </c>
      <c r="C449" s="1" t="s">
        <v>515</v>
      </c>
      <c r="H449" s="10"/>
      <c r="J449" s="8" t="str">
        <f>IFERROR(__xludf.DUMMYFUNCTION("IF(ISBLANK(F449),""NA"", VLOOKUP(F449,IMPORTRANGE(""https://docs.google.com/spreadsheets/d/1EdCvim__xyxvoo9WoburDTzYylznTCOJBHcnu7eurMw/edit?gid=15948134#gid=15948134"", ""Purpose!A1:B1000""),2,FALSE()))"),"NA")</f>
        <v>NA</v>
      </c>
      <c r="K449" s="8" t="str">
        <f>IFERROR(__xludf.DUMMYFUNCTION("IF(ISBLANK(E449),""NA"", VLOOKUP(E449,IMPORTRANGE(""https://docs.google.com/spreadsheets/d/1EdCvim__xyxvoo9WoburDTzYylznTCOJBHcnu7eurMw/edit?gid=15948134#gid=15948134"", ""Technique!A1:B2000""),2,FALSE()))"),"NA")</f>
        <v>NA</v>
      </c>
      <c r="L449" s="8" t="str">
        <f>IFERROR(__xludf.DUMMYFUNCTION("IF(ISBLANK(D449),""NA"", VLOOKUP(D449,IMPORTRANGE(""https://docs.google.com/spreadsheets/d/1EdCvim__xyxvoo9WoburDTzYylznTCOJBHcnu7eurMw/edit?gid=15948134#gid=15948134"", ""Input!A1:B2000""),2,FALSE()))"),"NA")</f>
        <v>NA</v>
      </c>
    </row>
    <row r="450" hidden="1">
      <c r="A450" s="1" t="s">
        <v>1520</v>
      </c>
      <c r="B450" s="1">
        <v>14.0</v>
      </c>
      <c r="C450" s="1" t="s">
        <v>1521</v>
      </c>
      <c r="D450" s="1" t="s">
        <v>11</v>
      </c>
      <c r="E450" s="14" t="s">
        <v>455</v>
      </c>
      <c r="F450" s="14" t="s">
        <v>447</v>
      </c>
      <c r="G450" s="1" t="s">
        <v>44</v>
      </c>
      <c r="H450" s="15" t="s">
        <v>1522</v>
      </c>
      <c r="J450" s="8" t="str">
        <f>IFERROR(__xludf.DUMMYFUNCTION("IF(ISBLANK(F450),""NA"", VLOOKUP(F450,IMPORTRANGE(""https://docs.google.com/spreadsheets/d/1EdCvim__xyxvoo9WoburDTzYylznTCOJBHcnu7eurMw/edit?gid=15948134#gid=15948134"", ""Purpose!A1:B1000""),2,FALSE()))"),"to collect data, data in a usable structure")</f>
        <v>to collect data, data in a usable structure</v>
      </c>
      <c r="K450" s="8" t="str">
        <f>IFERROR(__xludf.DUMMYFUNCTION("IF(ISBLANK(E450),""NA"", VLOOKUP(E450,IMPORTRANGE(""https://docs.google.com/spreadsheets/d/1EdCvim__xyxvoo9WoburDTzYylznTCOJBHcnu7eurMw/edit?gid=15948134#gid=15948134"", ""Technique!A1:B2000""),2,FALSE()))"),"build an AST")</f>
        <v>build an AST</v>
      </c>
      <c r="L450" s="8" t="str">
        <f>IFERROR(__xludf.DUMMYFUNCTION("IF(ISBLANK(D450),""NA"", VLOOKUP(D450,IMPORTRANGE(""https://docs.google.com/spreadsheets/d/1EdCvim__xyxvoo9WoburDTzYylznTCOJBHcnu7eurMw/edit?gid=15948134#gid=15948134"", ""Input!A1:B2000""),2,FALSE()))"),"code data")</f>
        <v>code data</v>
      </c>
    </row>
    <row r="451" hidden="1">
      <c r="A451" s="1" t="s">
        <v>1520</v>
      </c>
      <c r="B451" s="1">
        <v>15.0</v>
      </c>
      <c r="C451" s="1" t="s">
        <v>1521</v>
      </c>
      <c r="D451" s="1" t="s">
        <v>11</v>
      </c>
      <c r="E451" s="16" t="s">
        <v>1523</v>
      </c>
      <c r="F451" s="14" t="s">
        <v>1524</v>
      </c>
      <c r="G451" s="1" t="s">
        <v>20</v>
      </c>
      <c r="H451" s="15" t="s">
        <v>1522</v>
      </c>
      <c r="J451" s="8" t="str">
        <f>IFERROR(__xludf.DUMMYFUNCTION("IF(ISBLANK(F451),""NA"", VLOOKUP(F451,IMPORTRANGE(""https://docs.google.com/spreadsheets/d/1EdCvim__xyxvoo9WoburDTzYylznTCOJBHcnu7eurMw/edit?gid=15948134#gid=15948134"", ""Purpose!A1:B1000""),2,FALSE()))"),"to pre-process the data")</f>
        <v>to pre-process the data</v>
      </c>
      <c r="K451" s="8" t="str">
        <f>IFERROR(__xludf.DUMMYFUNCTION("IF(ISBLANK(E451),""NA"", VLOOKUP(E451,IMPORTRANGE(""https://docs.google.com/spreadsheets/d/1EdCvim__xyxvoo9WoburDTzYylznTCOJBHcnu7eurMw/edit?gid=15948134#gid=15948134"", ""Technique!A1:B2000""),2,FALSE()))"),"use bag of words")</f>
        <v>use bag of words</v>
      </c>
      <c r="L451" s="8" t="str">
        <f>IFERROR(__xludf.DUMMYFUNCTION("IF(ISBLANK(D451),""NA"", VLOOKUP(D451,IMPORTRANGE(""https://docs.google.com/spreadsheets/d/1EdCvim__xyxvoo9WoburDTzYylznTCOJBHcnu7eurMw/edit?gid=15948134#gid=15948134"", ""Input!A1:B2000""),2,FALSE()))"),"code data")</f>
        <v>code data</v>
      </c>
    </row>
    <row r="452" hidden="1">
      <c r="A452" s="1" t="s">
        <v>1520</v>
      </c>
      <c r="B452" s="1">
        <v>1.0</v>
      </c>
      <c r="C452" s="1" t="s">
        <v>1525</v>
      </c>
      <c r="E452" s="14" t="s">
        <v>1526</v>
      </c>
      <c r="F452" s="14" t="s">
        <v>1527</v>
      </c>
      <c r="G452" s="1" t="s">
        <v>44</v>
      </c>
      <c r="H452" s="15" t="s">
        <v>1522</v>
      </c>
      <c r="J452" s="8" t="str">
        <f>IFERROR(__xludf.DUMMYFUNCTION("IF(ISBLANK(F452),""NA"", VLOOKUP(F452,IMPORTRANGE(""https://docs.google.com/spreadsheets/d/1EdCvim__xyxvoo9WoburDTzYylznTCOJBHcnu7eurMw/edit?gid=15948134#gid=15948134"", ""Purpose!A1:B1000""),2,FALSE()))"),"to be able to replicate/reproduce a study")</f>
        <v>to be able to replicate/reproduce a study</v>
      </c>
      <c r="K452" s="8" t="str">
        <f>IFERROR(__xludf.DUMMYFUNCTION("IF(ISBLANK(E452),""NA"", VLOOKUP(E452,IMPORTRANGE(""https://docs.google.com/spreadsheets/d/1EdCvim__xyxvoo9WoburDTzYylznTCOJBHcnu7eurMw/edit?gid=15948134#gid=15948134"", ""Technique!A1:B2000""),2,FALSE()))"),"use repositories (i.e., National Vulnerability Database)")</f>
        <v>use repositories (i.e., National Vulnerability Database)</v>
      </c>
      <c r="L452" s="8" t="str">
        <f>IFERROR(__xludf.DUMMYFUNCTION("IF(ISBLANK(D452),""NA"", VLOOKUP(D452,IMPORTRANGE(""https://docs.google.com/spreadsheets/d/1EdCvim__xyxvoo9WoburDTzYylznTCOJBHcnu7eurMw/edit?gid=15948134#gid=15948134"", ""Input!A1:B2000""),2,FALSE()))"),"NA")</f>
        <v>NA</v>
      </c>
    </row>
    <row r="453" hidden="1">
      <c r="A453" s="1" t="s">
        <v>1520</v>
      </c>
      <c r="B453" s="1">
        <v>2.0</v>
      </c>
      <c r="C453" s="1" t="s">
        <v>1528</v>
      </c>
      <c r="D453" s="1" t="s">
        <v>1086</v>
      </c>
      <c r="E453" s="16" t="s">
        <v>1529</v>
      </c>
      <c r="F453" s="14" t="s">
        <v>1530</v>
      </c>
      <c r="G453" s="1" t="s">
        <v>20</v>
      </c>
      <c r="H453" s="15" t="s">
        <v>1522</v>
      </c>
      <c r="J453" s="8" t="str">
        <f>IFERROR(__xludf.DUMMYFUNCTION("IF(ISBLANK(F453),""NA"", VLOOKUP(F453,IMPORTRANGE(""https://docs.google.com/spreadsheets/d/1EdCvim__xyxvoo9WoburDTzYylznTCOJBHcnu7eurMw/edit?gid=15948134#gid=15948134"", ""Purpose!A1:B1000""),2,FALSE()))"),"to have realistic tests")</f>
        <v>to have realistic tests</v>
      </c>
      <c r="K453" s="8" t="str">
        <f>IFERROR(__xludf.DUMMYFUNCTION("IF(ISBLANK(E453),""NA"", VLOOKUP(E453,IMPORTRANGE(""https://docs.google.com/spreadsheets/d/1EdCvim__xyxvoo9WoburDTzYylznTCOJBHcnu7eurMw/edit?gid=15948134#gid=15948134"", ""Technique!A1:B2000""),2,FALSE()))"),"remove temporal dependencies")</f>
        <v>remove temporal dependencies</v>
      </c>
      <c r="L453" s="8" t="str">
        <f>IFERROR(__xludf.DUMMYFUNCTION("IF(ISBLANK(D453),""NA"", VLOOKUP(D453,IMPORTRANGE(""https://docs.google.com/spreadsheets/d/1EdCvim__xyxvoo9WoburDTzYylznTCOJBHcnu7eurMw/edit?gid=15948134#gid=15948134"", ""Input!A1:B2000""),2,FALSE()))"),"data")</f>
        <v>data</v>
      </c>
    </row>
    <row r="454" hidden="1">
      <c r="A454" s="1" t="s">
        <v>1520</v>
      </c>
      <c r="B454" s="1">
        <v>3.0</v>
      </c>
      <c r="C454" s="1" t="s">
        <v>1531</v>
      </c>
      <c r="D454" s="1" t="s">
        <v>698</v>
      </c>
      <c r="E454" s="16" t="s">
        <v>1532</v>
      </c>
      <c r="F454" s="14" t="s">
        <v>1533</v>
      </c>
      <c r="G454" s="1" t="s">
        <v>54</v>
      </c>
      <c r="H454" s="15" t="s">
        <v>1522</v>
      </c>
      <c r="J454" s="8" t="str">
        <f>IFERROR(__xludf.DUMMYFUNCTION("IF(ISBLANK(F454),""NA"", VLOOKUP(F454,IMPORTRANGE(""https://docs.google.com/spreadsheets/d/1EdCvim__xyxvoo9WoburDTzYylznTCOJBHcnu7eurMw/edit?gid=15948134#gid=15948134"", ""Purpose!A1:B1000""),2,FALSE()))"),"to balance the data")</f>
        <v>to balance the data</v>
      </c>
      <c r="K454" s="8" t="str">
        <f>IFERROR(__xludf.DUMMYFUNCTION("IF(ISBLANK(E454),""NA"", VLOOKUP(E454,IMPORTRANGE(""https://docs.google.com/spreadsheets/d/1EdCvim__xyxvoo9WoburDTzYylznTCOJBHcnu7eurMw/edit?gid=15948134#gid=15948134"", ""Technique!A1:B2000""),2,FALSE()))"),"balance data, use SMOTE")</f>
        <v>balance data, use SMOTE</v>
      </c>
      <c r="L454" s="8" t="str">
        <f>IFERROR(__xludf.DUMMYFUNCTION("IF(ISBLANK(D454),""NA"", VLOOKUP(D454,IMPORTRANGE(""https://docs.google.com/spreadsheets/d/1EdCvim__xyxvoo9WoburDTzYylznTCOJBHcnu7eurMw/edit?gid=15948134#gid=15948134"", ""Input!A1:B2000""),2,FALSE()))"),"data (training set)")</f>
        <v>data (training set)</v>
      </c>
    </row>
    <row r="455" hidden="1">
      <c r="A455" s="1" t="s">
        <v>1520</v>
      </c>
      <c r="B455" s="1" t="s">
        <v>1534</v>
      </c>
      <c r="C455" s="1" t="s">
        <v>1531</v>
      </c>
      <c r="D455" s="1" t="s">
        <v>1535</v>
      </c>
      <c r="E455" s="16" t="s">
        <v>1536</v>
      </c>
      <c r="F455" s="14" t="s">
        <v>1537</v>
      </c>
      <c r="G455" s="1" t="s">
        <v>54</v>
      </c>
      <c r="H455" s="15" t="s">
        <v>1522</v>
      </c>
      <c r="J455" s="8" t="str">
        <f>IFERROR(__xludf.DUMMYFUNCTION("IF(ISBLANK(F455),""NA"", VLOOKUP(F455,IMPORTRANGE(""https://docs.google.com/spreadsheets/d/1EdCvim__xyxvoo9WoburDTzYylznTCOJBHcnu7eurMw/edit?gid=15948134#gid=15948134"", ""Purpose!A1:B1000""),2,FALSE()))"),"to train a model for detection tasks (i.e., vulnerabilities detection)")</f>
        <v>to train a model for detection tasks (i.e., vulnerabilities detection)</v>
      </c>
      <c r="K455" s="8" t="str">
        <f>IFERROR(__xludf.DUMMYFUNCTION("IF(ISBLANK(E455),""NA"", VLOOKUP(E455,IMPORTRANGE(""https://docs.google.com/spreadsheets/d/1EdCvim__xyxvoo9WoburDTzYylznTCOJBHcnu7eurMw/edit?gid=15948134#gid=15948134"", ""Technique!A1:B2000""),2,FALSE()))"),"use AdaBoost")</f>
        <v>use AdaBoost</v>
      </c>
      <c r="L455" s="8" t="str">
        <f>IFERROR(__xludf.DUMMYFUNCTION("IF(ISBLANK(D455),""NA"", VLOOKUP(D455,IMPORTRANGE(""https://docs.google.com/spreadsheets/d/1EdCvim__xyxvoo9WoburDTzYylznTCOJBHcnu7eurMw/edit?gid=15948134#gid=15948134"", ""Input!A1:B2000""),2,FALSE()))"),"data (training set)")</f>
        <v>data (training set)</v>
      </c>
    </row>
    <row r="456" hidden="1">
      <c r="A456" s="1" t="s">
        <v>1520</v>
      </c>
      <c r="B456" s="1" t="s">
        <v>1538</v>
      </c>
      <c r="C456" s="1" t="s">
        <v>1531</v>
      </c>
      <c r="D456" s="1" t="s">
        <v>1535</v>
      </c>
      <c r="E456" s="16" t="s">
        <v>1539</v>
      </c>
      <c r="F456" s="14" t="s">
        <v>1537</v>
      </c>
      <c r="G456" s="1" t="s">
        <v>54</v>
      </c>
      <c r="H456" s="15" t="s">
        <v>1522</v>
      </c>
      <c r="J456" s="8" t="str">
        <f>IFERROR(__xludf.DUMMYFUNCTION("IF(ISBLANK(F456),""NA"", VLOOKUP(F456,IMPORTRANGE(""https://docs.google.com/spreadsheets/d/1EdCvim__xyxvoo9WoburDTzYylznTCOJBHcnu7eurMw/edit?gid=15948134#gid=15948134"", ""Purpose!A1:B1000""),2,FALSE()))"),"to train a model for detection tasks (i.e., vulnerabilities detection)")</f>
        <v>to train a model for detection tasks (i.e., vulnerabilities detection)</v>
      </c>
      <c r="K456" s="8" t="str">
        <f>IFERROR(__xludf.DUMMYFUNCTION("IF(ISBLANK(E456),""NA"", VLOOKUP(E456,IMPORTRANGE(""https://docs.google.com/spreadsheets/d/1EdCvim__xyxvoo9WoburDTzYylznTCOJBHcnu7eurMw/edit?gid=15948134#gid=15948134"", ""Technique!A1:B2000""),2,FALSE()))"),"use logistic regression")</f>
        <v>use logistic regression</v>
      </c>
      <c r="L456" s="8" t="str">
        <f>IFERROR(__xludf.DUMMYFUNCTION("IF(ISBLANK(D456),""NA"", VLOOKUP(D456,IMPORTRANGE(""https://docs.google.com/spreadsheets/d/1EdCvim__xyxvoo9WoburDTzYylznTCOJBHcnu7eurMw/edit?gid=15948134#gid=15948134"", ""Input!A1:B2000""),2,FALSE()))"),"data (training set)")</f>
        <v>data (training set)</v>
      </c>
    </row>
    <row r="457" hidden="1">
      <c r="A457" s="1" t="s">
        <v>1520</v>
      </c>
      <c r="B457" s="1" t="s">
        <v>1540</v>
      </c>
      <c r="C457" s="1" t="s">
        <v>1531</v>
      </c>
      <c r="D457" s="1" t="s">
        <v>1535</v>
      </c>
      <c r="E457" s="16" t="s">
        <v>1541</v>
      </c>
      <c r="F457" s="14" t="s">
        <v>1537</v>
      </c>
      <c r="G457" s="1" t="s">
        <v>54</v>
      </c>
      <c r="H457" s="15" t="s">
        <v>1522</v>
      </c>
      <c r="J457" s="8" t="str">
        <f>IFERROR(__xludf.DUMMYFUNCTION("IF(ISBLANK(F457),""NA"", VLOOKUP(F457,IMPORTRANGE(""https://docs.google.com/spreadsheets/d/1EdCvim__xyxvoo9WoburDTzYylznTCOJBHcnu7eurMw/edit?gid=15948134#gid=15948134"", ""Purpose!A1:B1000""),2,FALSE()))"),"to train a model for detection tasks (i.e., vulnerabilities detection)")</f>
        <v>to train a model for detection tasks (i.e., vulnerabilities detection)</v>
      </c>
      <c r="K457" s="8" t="str">
        <f>IFERROR(__xludf.DUMMYFUNCTION("IF(ISBLANK(E457),""NA"", VLOOKUP(E457,IMPORTRANGE(""https://docs.google.com/spreadsheets/d/1EdCvim__xyxvoo9WoburDTzYylznTCOJBHcnu7eurMw/edit?gid=15948134#gid=15948134"", ""Technique!A1:B2000""),2,FALSE()))"),"use k-nearest neighbors")</f>
        <v>use k-nearest neighbors</v>
      </c>
      <c r="L457" s="8" t="str">
        <f>IFERROR(__xludf.DUMMYFUNCTION("IF(ISBLANK(D457),""NA"", VLOOKUP(D457,IMPORTRANGE(""https://docs.google.com/spreadsheets/d/1EdCvim__xyxvoo9WoburDTzYylznTCOJBHcnu7eurMw/edit?gid=15948134#gid=15948134"", ""Input!A1:B2000""),2,FALSE()))"),"data (training set)")</f>
        <v>data (training set)</v>
      </c>
    </row>
    <row r="458" hidden="1">
      <c r="A458" s="1" t="s">
        <v>1520</v>
      </c>
      <c r="B458" s="1" t="s">
        <v>1542</v>
      </c>
      <c r="C458" s="1" t="s">
        <v>1531</v>
      </c>
      <c r="D458" s="1" t="s">
        <v>1535</v>
      </c>
      <c r="E458" s="16" t="s">
        <v>1543</v>
      </c>
      <c r="F458" s="14" t="s">
        <v>1537</v>
      </c>
      <c r="G458" s="1" t="s">
        <v>54</v>
      </c>
      <c r="H458" s="15" t="s">
        <v>1522</v>
      </c>
      <c r="J458" s="8" t="str">
        <f>IFERROR(__xludf.DUMMYFUNCTION("IF(ISBLANK(F458),""NA"", VLOOKUP(F458,IMPORTRANGE(""https://docs.google.com/spreadsheets/d/1EdCvim__xyxvoo9WoburDTzYylznTCOJBHcnu7eurMw/edit?gid=15948134#gid=15948134"", ""Purpose!A1:B1000""),2,FALSE()))"),"to train a model for detection tasks (i.e., vulnerabilities detection)")</f>
        <v>to train a model for detection tasks (i.e., vulnerabilities detection)</v>
      </c>
      <c r="K458" s="8" t="str">
        <f>IFERROR(__xludf.DUMMYFUNCTION("IF(ISBLANK(E458),""NA"", VLOOKUP(E458,IMPORTRANGE(""https://docs.google.com/spreadsheets/d/1EdCvim__xyxvoo9WoburDTzYylznTCOJBHcnu7eurMw/edit?gid=15948134#gid=15948134"", ""Technique!A1:B2000""),2,FALSE()))"),"use random forest")</f>
        <v>use random forest</v>
      </c>
      <c r="L458" s="8" t="str">
        <f>IFERROR(__xludf.DUMMYFUNCTION("IF(ISBLANK(D458),""NA"", VLOOKUP(D458,IMPORTRANGE(""https://docs.google.com/spreadsheets/d/1EdCvim__xyxvoo9WoburDTzYylznTCOJBHcnu7eurMw/edit?gid=15948134#gid=15948134"", ""Input!A1:B2000""),2,FALSE()))"),"data (training set)")</f>
        <v>data (training set)</v>
      </c>
    </row>
    <row r="459" hidden="1">
      <c r="A459" s="1" t="s">
        <v>1520</v>
      </c>
      <c r="B459" s="1" t="s">
        <v>1544</v>
      </c>
      <c r="C459" s="1" t="s">
        <v>1531</v>
      </c>
      <c r="D459" s="1" t="s">
        <v>1535</v>
      </c>
      <c r="E459" s="16" t="s">
        <v>1545</v>
      </c>
      <c r="F459" s="14" t="s">
        <v>1537</v>
      </c>
      <c r="G459" s="1" t="s">
        <v>54</v>
      </c>
      <c r="H459" s="15" t="s">
        <v>1522</v>
      </c>
      <c r="J459" s="8" t="str">
        <f>IFERROR(__xludf.DUMMYFUNCTION("IF(ISBLANK(F459),""NA"", VLOOKUP(F459,IMPORTRANGE(""https://docs.google.com/spreadsheets/d/1EdCvim__xyxvoo9WoburDTzYylznTCOJBHcnu7eurMw/edit?gid=15948134#gid=15948134"", ""Purpose!A1:B1000""),2,FALSE()))"),"to train a model for detection tasks (i.e., vulnerabilities detection)")</f>
        <v>to train a model for detection tasks (i.e., vulnerabilities detection)</v>
      </c>
      <c r="K459" s="8" t="str">
        <f>IFERROR(__xludf.DUMMYFUNCTION("IF(ISBLANK(E459),""NA"", VLOOKUP(E459,IMPORTRANGE(""https://docs.google.com/spreadsheets/d/1EdCvim__xyxvoo9WoburDTzYylznTCOJBHcnu7eurMw/edit?gid=15948134#gid=15948134"", ""Technique!A1:B2000""),2,FALSE()))"),"use C4.5 tree (J48)")</f>
        <v>use C4.5 tree (J48)</v>
      </c>
      <c r="L459" s="8" t="str">
        <f>IFERROR(__xludf.DUMMYFUNCTION("IF(ISBLANK(D459),""NA"", VLOOKUP(D459,IMPORTRANGE(""https://docs.google.com/spreadsheets/d/1EdCvim__xyxvoo9WoburDTzYylznTCOJBHcnu7eurMw/edit?gid=15948134#gid=15948134"", ""Input!A1:B2000""),2,FALSE()))"),"data (training set)")</f>
        <v>data (training set)</v>
      </c>
    </row>
    <row r="460" hidden="1">
      <c r="A460" s="1" t="s">
        <v>1520</v>
      </c>
      <c r="B460" s="1" t="s">
        <v>1546</v>
      </c>
      <c r="C460" s="1" t="s">
        <v>1547</v>
      </c>
      <c r="D460" s="1" t="s">
        <v>1548</v>
      </c>
      <c r="E460" s="14" t="s">
        <v>1549</v>
      </c>
      <c r="F460" s="14" t="s">
        <v>434</v>
      </c>
      <c r="G460" s="1" t="s">
        <v>39</v>
      </c>
      <c r="H460" s="15" t="s">
        <v>1522</v>
      </c>
      <c r="J460" s="8" t="str">
        <f>IFERROR(__xludf.DUMMYFUNCTION("IF(ISBLANK(F460),""NA"", VLOOKUP(F460,IMPORTRANGE(""https://docs.google.com/spreadsheets/d/1EdCvim__xyxvoo9WoburDTzYylznTCOJBHcnu7eurMw/edit?gid=15948134#gid=15948134"", ""Purpose!A1:B1000""),2,FALSE()))"),"to evaluate model(s) functionally (e.g., accuracy)")</f>
        <v>to evaluate model(s) functionally (e.g., accuracy)</v>
      </c>
      <c r="K460" s="8" t="str">
        <f>IFERROR(__xludf.DUMMYFUNCTION("IF(ISBLANK(E460),""NA"", VLOOKUP(E460,IMPORTRANGE(""https://docs.google.com/spreadsheets/d/1EdCvim__xyxvoo9WoburDTzYylznTCOJBHcnu7eurMw/edit?gid=15948134#gid=15948134"", ""Technique!A1:B2000""),2,FALSE()))"),"compute classical metrics (i.e., Precision, Recall) + compute metrics (i.e., MCC, measure resolution ratio)")</f>
        <v>compute classical metrics (i.e., Precision, Recall) + compute metrics (i.e., MCC, measure resolution ratio)</v>
      </c>
      <c r="L460" s="8" t="str">
        <f>IFERROR(__xludf.DUMMYFUNCTION("IF(ISBLANK(D460),""NA"", VLOOKUP(D460,IMPORTRANGE(""https://docs.google.com/spreadsheets/d/1EdCvim__xyxvoo9WoburDTzYylznTCOJBHcnu7eurMw/edit?gid=15948134#gid=15948134"", ""Input!A1:B2000""),2,FALSE()))"),"data (test set) + model(s)")</f>
        <v>data (test set) + model(s)</v>
      </c>
    </row>
    <row r="461" hidden="1">
      <c r="A461" s="1" t="s">
        <v>1520</v>
      </c>
      <c r="B461" s="1">
        <v>13.0</v>
      </c>
      <c r="C461" s="1" t="s">
        <v>1550</v>
      </c>
      <c r="D461" s="1" t="s">
        <v>1551</v>
      </c>
      <c r="E461" s="14" t="s">
        <v>1552</v>
      </c>
      <c r="F461" s="14" t="s">
        <v>1553</v>
      </c>
      <c r="G461" s="1" t="s">
        <v>39</v>
      </c>
      <c r="H461" s="15" t="s">
        <v>1522</v>
      </c>
      <c r="J461" s="8" t="str">
        <f>IFERROR(__xludf.DUMMYFUNCTION("IF(ISBLANK(F461),""NA"", VLOOKUP(F461,IMPORTRANGE(""https://docs.google.com/spreadsheets/d/1EdCvim__xyxvoo9WoburDTzYylznTCOJBHcnu7eurMw/edit?gid=15948134#gid=15948134"", ""Purpose!A1:B1000""),2,FALSE()))"),"to understand statistical significance")</f>
        <v>to understand statistical significance</v>
      </c>
      <c r="K461" s="8" t="str">
        <f>IFERROR(__xludf.DUMMYFUNCTION("IF(ISBLANK(E461),""NA"", VLOOKUP(E461,IMPORTRANGE(""https://docs.google.com/spreadsheets/d/1EdCvim__xyxvoo9WoburDTzYylznTCOJBHcnu7eurMw/edit?gid=15948134#gid=15948134"", ""Technique!A1:B2000""),2,FALSE()))"),"statistical test (Wilcoxon signed-rank test)")</f>
        <v>statistical test (Wilcoxon signed-rank test)</v>
      </c>
      <c r="L461" s="8" t="str">
        <f>IFERROR(__xludf.DUMMYFUNCTION("IF(ISBLANK(D461),""NA"", VLOOKUP(D461,IMPORTRANGE(""https://docs.google.com/spreadsheets/d/1EdCvim__xyxvoo9WoburDTzYylznTCOJBHcnu7eurMw/edit?gid=15948134#gid=15948134"", ""Input!A1:B2000""),2,FALSE()))"),"computed metrics")</f>
        <v>computed metrics</v>
      </c>
    </row>
    <row r="462" hidden="1">
      <c r="A462" s="1" t="s">
        <v>1520</v>
      </c>
      <c r="B462" s="1">
        <v>18.0</v>
      </c>
      <c r="C462" s="1" t="s">
        <v>1531</v>
      </c>
      <c r="D462" s="1" t="s">
        <v>1554</v>
      </c>
      <c r="E462" s="16" t="s">
        <v>1555</v>
      </c>
      <c r="F462" s="14" t="s">
        <v>1556</v>
      </c>
      <c r="G462" s="1" t="s">
        <v>20</v>
      </c>
      <c r="H462" s="15" t="s">
        <v>1522</v>
      </c>
      <c r="J462" s="8" t="str">
        <f>IFERROR(__xludf.DUMMYFUNCTION("IF(ISBLANK(F462),""NA"", VLOOKUP(F462,IMPORTRANGE(""https://docs.google.com/spreadsheets/d/1EdCvim__xyxvoo9WoburDTzYylznTCOJBHcnu7eurMw/edit?gid=15948134#gid=15948134"", ""Purpose!A1:B1000""),2,FALSE()))"),"to balance the data")</f>
        <v>to balance the data</v>
      </c>
      <c r="K462" s="8" t="str">
        <f>IFERROR(__xludf.DUMMYFUNCTION("IF(ISBLANK(E462),""NA"", VLOOKUP(E462,IMPORTRANGE(""https://docs.google.com/spreadsheets/d/1EdCvim__xyxvoo9WoburDTzYylznTCOJBHcnu7eurMw/edit?gid=15948134#gid=15948134"", ""Technique!A1:B2000""),2,FALSE()))"),"balance data (i.e., Synthetic oversampling)")</f>
        <v>balance data (i.e., Synthetic oversampling)</v>
      </c>
      <c r="L462" s="8" t="str">
        <f>IFERROR(__xludf.DUMMYFUNCTION("IF(ISBLANK(D462),""NA"", VLOOKUP(D462,IMPORTRANGE(""https://docs.google.com/spreadsheets/d/1EdCvim__xyxvoo9WoburDTzYylznTCOJBHcnu7eurMw/edit?gid=15948134#gid=15948134"", ""Input!A1:B2000""),2,FALSE()))"),"data (test set)")</f>
        <v>data (test set)</v>
      </c>
    </row>
    <row r="463" hidden="1">
      <c r="A463" s="1" t="s">
        <v>1557</v>
      </c>
      <c r="B463" s="1">
        <v>1.0</v>
      </c>
      <c r="C463" s="1" t="s">
        <v>1558</v>
      </c>
      <c r="E463" s="14" t="s">
        <v>1559</v>
      </c>
      <c r="F463" s="14" t="s">
        <v>1527</v>
      </c>
      <c r="G463" s="1" t="s">
        <v>44</v>
      </c>
      <c r="H463" s="15" t="s">
        <v>1560</v>
      </c>
      <c r="J463" s="8" t="str">
        <f>IFERROR(__xludf.DUMMYFUNCTION("IF(ISBLANK(F463),""NA"", VLOOKUP(F463,IMPORTRANGE(""https://docs.google.com/spreadsheets/d/1EdCvim__xyxvoo9WoburDTzYylznTCOJBHcnu7eurMw/edit?gid=15948134#gid=15948134"", ""Purpose!A1:B1000""),2,FALSE()))"),"to be able to replicate/reproduce a study")</f>
        <v>to be able to replicate/reproduce a study</v>
      </c>
      <c r="K463" s="8" t="str">
        <f>IFERROR(__xludf.DUMMYFUNCTION("IF(ISBLANK(E463),""NA"", VLOOKUP(E463,IMPORTRANGE(""https://docs.google.com/spreadsheets/d/1EdCvim__xyxvoo9WoburDTzYylznTCOJBHcnu7eurMw/edit?gid=15948134#gid=15948134"", ""Technique!A1:B2000""),2,FALSE()))"),"report details of data collection")</f>
        <v>report details of data collection</v>
      </c>
      <c r="L463" s="8" t="str">
        <f>IFERROR(__xludf.DUMMYFUNCTION("IF(ISBLANK(D463),""NA"", VLOOKUP(D463,IMPORTRANGE(""https://docs.google.com/spreadsheets/d/1EdCvim__xyxvoo9WoburDTzYylznTCOJBHcnu7eurMw/edit?gid=15948134#gid=15948134"", ""Input!A1:B2000""),2,FALSE()))"),"NA")</f>
        <v>NA</v>
      </c>
    </row>
    <row r="464" hidden="1">
      <c r="A464" s="1" t="s">
        <v>1557</v>
      </c>
      <c r="B464" s="1">
        <v>16.0</v>
      </c>
      <c r="C464" s="1" t="s">
        <v>1561</v>
      </c>
      <c r="D464" s="1" t="s">
        <v>1562</v>
      </c>
      <c r="E464" s="14" t="s">
        <v>1563</v>
      </c>
      <c r="F464" s="14" t="s">
        <v>1344</v>
      </c>
      <c r="G464" s="1" t="s">
        <v>44</v>
      </c>
      <c r="H464" s="15" t="s">
        <v>1560</v>
      </c>
      <c r="J464" s="8" t="str">
        <f>IFERROR(__xludf.DUMMYFUNCTION("IF(ISBLANK(F464),""NA"", VLOOKUP(F464,IMPORTRANGE(""https://docs.google.com/spreadsheets/d/1EdCvim__xyxvoo9WoburDTzYylznTCOJBHcnu7eurMw/edit?gid=15948134#gid=15948134"", ""Purpose!A1:B1000""),2,FALSE()))"),"to collect data")</f>
        <v>to collect data</v>
      </c>
      <c r="K464" s="8" t="str">
        <f>IFERROR(__xludf.DUMMYFUNCTION("IF(ISBLANK(E464),""NA"", VLOOKUP(E464,IMPORTRANGE(""https://docs.google.com/spreadsheets/d/1EdCvim__xyxvoo9WoburDTzYylznTCOJBHcnu7eurMw/edit?gid=15948134#gid=15948134"", ""Technique!A1:B2000""),2,FALSE()))"),"collect own data from open-source projects")</f>
        <v>collect own data from open-source projects</v>
      </c>
      <c r="L464" s="8" t="str">
        <f>IFERROR(__xludf.DUMMYFUNCTION("IF(ISBLANK(D464),""NA"", VLOOKUP(D464,IMPORTRANGE(""https://docs.google.com/spreadsheets/d/1EdCvim__xyxvoo9WoburDTzYylznTCOJBHcnu7eurMw/edit?gid=15948134#gid=15948134"", ""Input!A1:B2000""),2,FALSE()))"),"code data (coded by students)")</f>
        <v>code data (coded by students)</v>
      </c>
    </row>
    <row r="465" hidden="1">
      <c r="A465" s="1" t="s">
        <v>1557</v>
      </c>
      <c r="B465" s="1" t="s">
        <v>1564</v>
      </c>
      <c r="C465" s="1" t="s">
        <v>1565</v>
      </c>
      <c r="D465" s="1" t="s">
        <v>1566</v>
      </c>
      <c r="E465" s="16" t="s">
        <v>1567</v>
      </c>
      <c r="F465" s="14" t="s">
        <v>1568</v>
      </c>
      <c r="G465" s="1" t="s">
        <v>54</v>
      </c>
      <c r="H465" s="15" t="s">
        <v>1560</v>
      </c>
      <c r="J465" s="8" t="str">
        <f>IFERROR(__xludf.DUMMYFUNCTION("IF(ISBLANK(F465),""NA"", VLOOKUP(F465,IMPORTRANGE(""https://docs.google.com/spreadsheets/d/1EdCvim__xyxvoo9WoburDTzYylznTCOJBHcnu7eurMw/edit?gid=15948134#gid=15948134"", ""Purpose!A1:B1000""),2,FALSE()))"),"to train a model for classification tasks (i.e., error-repair class)")</f>
        <v>to train a model for classification tasks (i.e., error-repair class)</v>
      </c>
      <c r="K465" s="8" t="str">
        <f>IFERROR(__xludf.DUMMYFUNCTION("IF(ISBLANK(E465),""NA"", VLOOKUP(E465,IMPORTRANGE(""https://docs.google.com/spreadsheets/d/1EdCvim__xyxvoo9WoburDTzYylznTCOJBHcnu7eurMw/edit?gid=15948134#gid=15948134"", ""Technique!A1:B2000""),2,FALSE()))"),"use Dense Neural Network")</f>
        <v>use Dense Neural Network</v>
      </c>
      <c r="L465" s="8" t="str">
        <f>IFERROR(__xludf.DUMMYFUNCTION("IF(ISBLANK(D465),""NA"", VLOOKUP(D465,IMPORTRANGE(""https://docs.google.com/spreadsheets/d/1EdCvim__xyxvoo9WoburDTzYylznTCOJBHcnu7eurMw/edit?gid=15948134#gid=15948134"", ""Input!A1:B2000""),2,FALSE()))"),"embeddings (code data)")</f>
        <v>embeddings (code data)</v>
      </c>
    </row>
    <row r="466" hidden="1">
      <c r="A466" s="1" t="s">
        <v>1557</v>
      </c>
      <c r="B466" s="1">
        <v>18.0</v>
      </c>
      <c r="C466" s="1" t="s">
        <v>1565</v>
      </c>
      <c r="D466" s="1" t="s">
        <v>503</v>
      </c>
      <c r="E466" s="14" t="s">
        <v>1569</v>
      </c>
      <c r="G466" s="1" t="s">
        <v>924</v>
      </c>
      <c r="H466" s="15" t="s">
        <v>1560</v>
      </c>
      <c r="J466" s="8" t="str">
        <f>IFERROR(__xludf.DUMMYFUNCTION("IF(ISBLANK(F466),""NA"", VLOOKUP(F466,IMPORTRANGE(""https://docs.google.com/spreadsheets/d/1EdCvim__xyxvoo9WoburDTzYylznTCOJBHcnu7eurMw/edit?gid=15948134#gid=15948134"", ""Purpose!A1:B1000""),2,FALSE()))"),"NA")</f>
        <v>NA</v>
      </c>
      <c r="K466" s="8" t="str">
        <f>IFERROR(__xludf.DUMMYFUNCTION("IF(ISBLANK(E466),""NA"", VLOOKUP(E466,IMPORTRANGE(""https://docs.google.com/spreadsheets/d/1EdCvim__xyxvoo9WoburDTzYylznTCOJBHcnu7eurMw/edit?gid=15948134#gid=15948134"", ""Technique!A1:B2000""),2,FALSE()))"),"use live deployment pipeline")</f>
        <v>use live deployment pipeline</v>
      </c>
      <c r="L466" s="8" t="str">
        <f>IFERROR(__xludf.DUMMYFUNCTION("IF(ISBLANK(D466),""NA"", VLOOKUP(D466,IMPORTRANGE(""https://docs.google.com/spreadsheets/d/1EdCvim__xyxvoo9WoburDTzYylznTCOJBHcnu7eurMw/edit?gid=15948134#gid=15948134"", ""Input!A1:B2000""),2,FALSE()))"),"model(s)")</f>
        <v>model(s)</v>
      </c>
    </row>
    <row r="467" hidden="1">
      <c r="A467" s="1" t="s">
        <v>1557</v>
      </c>
      <c r="B467" s="1">
        <v>2.0</v>
      </c>
      <c r="C467" s="1" t="s">
        <v>1570</v>
      </c>
      <c r="D467" s="1" t="s">
        <v>170</v>
      </c>
      <c r="E467" s="16" t="s">
        <v>1571</v>
      </c>
      <c r="F467" s="14" t="s">
        <v>1572</v>
      </c>
      <c r="G467" s="1" t="s">
        <v>20</v>
      </c>
      <c r="H467" s="15" t="s">
        <v>1560</v>
      </c>
      <c r="J467" s="8" t="str">
        <f>IFERROR(__xludf.DUMMYFUNCTION("IF(ISBLANK(F467),""NA"", VLOOKUP(F467,IMPORTRANGE(""https://docs.google.com/spreadsheets/d/1EdCvim__xyxvoo9WoburDTzYylznTCOJBHcnu7eurMw/edit?gid=15948134#gid=15948134"", ""Purpose!A1:B1000""),2,FALSE()))"),"to split the data into different sets")</f>
        <v>to split the data into different sets</v>
      </c>
      <c r="K467" s="8" t="str">
        <f>IFERROR(__xludf.DUMMYFUNCTION("IF(ISBLANK(E467),""NA"", VLOOKUP(E467,IMPORTRANGE(""https://docs.google.com/spreadsheets/d/1EdCvim__xyxvoo9WoburDTzYylznTCOJBHcnu7eurMw/edit?gid=15948134#gid=15948134"", ""Technique!A1:B2000""),2,FALSE()))"),"split data into train and test, using random sampling")</f>
        <v>split data into train and test, using random sampling</v>
      </c>
      <c r="L467" s="8" t="str">
        <f>IFERROR(__xludf.DUMMYFUNCTION("IF(ISBLANK(D467),""NA"", VLOOKUP(D467,IMPORTRANGE(""https://docs.google.com/spreadsheets/d/1EdCvim__xyxvoo9WoburDTzYylznTCOJBHcnu7eurMw/edit?gid=15948134#gid=15948134"", ""Input!A1:B2000""),2,FALSE()))"),"data")</f>
        <v>data</v>
      </c>
    </row>
    <row r="468" hidden="1">
      <c r="A468" s="1" t="s">
        <v>1557</v>
      </c>
      <c r="B468" s="1">
        <v>3.0</v>
      </c>
      <c r="C468" s="1" t="s">
        <v>1570</v>
      </c>
      <c r="D468" s="1" t="s">
        <v>170</v>
      </c>
      <c r="E468" s="14" t="s">
        <v>1573</v>
      </c>
      <c r="F468" s="14" t="s">
        <v>1574</v>
      </c>
      <c r="G468" s="1" t="s">
        <v>14</v>
      </c>
      <c r="H468" s="15" t="s">
        <v>1560</v>
      </c>
      <c r="J468" s="8" t="str">
        <f>IFERROR(__xludf.DUMMYFUNCTION("IF(ISBLANK(F468),""NA"", VLOOKUP(F468,IMPORTRANGE(""https://docs.google.com/spreadsheets/d/1EdCvim__xyxvoo9WoburDTzYylznTCOJBHcnu7eurMw/edit?gid=15948134#gid=15948134"", ""Purpose!A1:B1000""),2,FALSE()))"),"to transform the data into the required input")</f>
        <v>to transform the data into the required input</v>
      </c>
      <c r="K468" s="8" t="str">
        <f>IFERROR(__xludf.DUMMYFUNCTION("IF(ISBLANK(E468),""NA"", VLOOKUP(E468,IMPORTRANGE(""https://docs.google.com/spreadsheets/d/1EdCvim__xyxvoo9WoburDTzYylznTCOJBHcnu7eurMw/edit?gid=15948134#gid=15948134"", ""Technique!A1:B2000""),2,FALSE()))"),"encode with one hot encoding")</f>
        <v>encode with one hot encoding</v>
      </c>
      <c r="L468" s="8" t="str">
        <f>IFERROR(__xludf.DUMMYFUNCTION("IF(ISBLANK(D468),""NA"", VLOOKUP(D468,IMPORTRANGE(""https://docs.google.com/spreadsheets/d/1EdCvim__xyxvoo9WoburDTzYylznTCOJBHcnu7eurMw/edit?gid=15948134#gid=15948134"", ""Input!A1:B2000""),2,FALSE()))"),"data")</f>
        <v>data</v>
      </c>
    </row>
    <row r="469" hidden="1">
      <c r="A469" s="1" t="s">
        <v>1557</v>
      </c>
      <c r="B469" s="1">
        <v>5.0</v>
      </c>
      <c r="C469" s="1" t="s">
        <v>1575</v>
      </c>
      <c r="E469" s="16" t="s">
        <v>1576</v>
      </c>
      <c r="F469" s="14" t="s">
        <v>1577</v>
      </c>
      <c r="G469" s="1" t="s">
        <v>54</v>
      </c>
      <c r="H469" s="15" t="s">
        <v>1560</v>
      </c>
      <c r="J469" s="8" t="str">
        <f>IFERROR(__xludf.DUMMYFUNCTION("IF(ISBLANK(F469),""NA"", VLOOKUP(F469,IMPORTRANGE(""https://docs.google.com/spreadsheets/d/1EdCvim__xyxvoo9WoburDTzYylznTCOJBHcnu7eurMw/edit?gid=15948134#gid=15948134"", ""Purpose!A1:B1000""),2,FALSE()))"),"to control overfitting")</f>
        <v>to control overfitting</v>
      </c>
      <c r="K469" s="8" t="str">
        <f>IFERROR(__xludf.DUMMYFUNCTION("IF(ISBLANK(E469),""NA"", VLOOKUP(E469,IMPORTRANGE(""https://docs.google.com/spreadsheets/d/1EdCvim__xyxvoo9WoburDTzYylznTCOJBHcnu7eurMw/edit?gid=15948134#gid=15948134"", ""Technique!A1:B2000""),2,FALSE()))"),"regularize the model, using droupout")</f>
        <v>regularize the model, using droupout</v>
      </c>
      <c r="L469" s="8" t="str">
        <f>IFERROR(__xludf.DUMMYFUNCTION("IF(ISBLANK(D469),""NA"", VLOOKUP(D469,IMPORTRANGE(""https://docs.google.com/spreadsheets/d/1EdCvim__xyxvoo9WoburDTzYylznTCOJBHcnu7eurMw/edit?gid=15948134#gid=15948134"", ""Input!A1:B2000""),2,FALSE()))"),"NA")</f>
        <v>NA</v>
      </c>
    </row>
    <row r="470" hidden="1">
      <c r="A470" s="1" t="s">
        <v>1557</v>
      </c>
      <c r="B470" s="1">
        <v>6.0</v>
      </c>
      <c r="C470" s="1" t="s">
        <v>1575</v>
      </c>
      <c r="E470" s="16" t="s">
        <v>1578</v>
      </c>
      <c r="F470" s="14" t="s">
        <v>1579</v>
      </c>
      <c r="G470" s="1" t="s">
        <v>54</v>
      </c>
      <c r="H470" s="15" t="s">
        <v>1560</v>
      </c>
      <c r="J470" s="8" t="str">
        <f>IFERROR(__xludf.DUMMYFUNCTION("IF(ISBLANK(F470),""NA"", VLOOKUP(F470,IMPORTRANGE(""https://docs.google.com/spreadsheets/d/1EdCvim__xyxvoo9WoburDTzYylznTCOJBHcnu7eurMw/edit?gid=15948134#gid=15948134"", ""Purpose!A1:B1000""),2,FALSE()))"),"to modify the model, to make it non-linear")</f>
        <v>to modify the model, to make it non-linear</v>
      </c>
      <c r="K470" s="8" t="str">
        <f>IFERROR(__xludf.DUMMYFUNCTION("IF(ISBLANK(E470),""NA"", VLOOKUP(E470,IMPORTRANGE(""https://docs.google.com/spreadsheets/d/1EdCvim__xyxvoo9WoburDTzYylznTCOJBHcnu7eurMw/edit?gid=15948134#gid=15948134"", ""Technique!A1:B2000""),2,FALSE()))"),"report model fine details (e.g., ReLu as activation function)")</f>
        <v>report model fine details (e.g., ReLu as activation function)</v>
      </c>
      <c r="L470" s="8" t="str">
        <f>IFERROR(__xludf.DUMMYFUNCTION("IF(ISBLANK(D470),""NA"", VLOOKUP(D470,IMPORTRANGE(""https://docs.google.com/spreadsheets/d/1EdCvim__xyxvoo9WoburDTzYylznTCOJBHcnu7eurMw/edit?gid=15948134#gid=15948134"", ""Input!A1:B2000""),2,FALSE()))"),"NA")</f>
        <v>NA</v>
      </c>
    </row>
    <row r="471" hidden="1">
      <c r="A471" s="1" t="s">
        <v>1557</v>
      </c>
      <c r="B471" s="1">
        <v>7.0</v>
      </c>
      <c r="C471" s="1" t="s">
        <v>1575</v>
      </c>
      <c r="E471" s="16" t="s">
        <v>1218</v>
      </c>
      <c r="F471" s="14" t="s">
        <v>1580</v>
      </c>
      <c r="G471" s="1" t="s">
        <v>54</v>
      </c>
      <c r="H471" s="15" t="s">
        <v>1560</v>
      </c>
      <c r="J471" s="8" t="str">
        <f>IFERROR(__xludf.DUMMYFUNCTION("IF(ISBLANK(F471),""NA"", VLOOKUP(F471,IMPORTRANGE(""https://docs.google.com/spreadsheets/d/1EdCvim__xyxvoo9WoburDTzYylznTCOJBHcnu7eurMw/edit?gid=15948134#gid=15948134"", ""Purpose!A1:B1000""),2,FALSE()))"),"to use a robust optimizer")</f>
        <v>to use a robust optimizer</v>
      </c>
      <c r="K471" s="8" t="str">
        <f>IFERROR(__xludf.DUMMYFUNCTION("IF(ISBLANK(E471),""NA"", VLOOKUP(E471,IMPORTRANGE(""https://docs.google.com/spreadsheets/d/1EdCvim__xyxvoo9WoburDTzYylznTCOJBHcnu7eurMw/edit?gid=15948134#gid=15948134"", ""Technique!A1:B2000""),2,FALSE()))"),"report model fine details (e.g., LR optimization (Adam))")</f>
        <v>report model fine details (e.g., LR optimization (Adam))</v>
      </c>
      <c r="L471" s="8" t="str">
        <f>IFERROR(__xludf.DUMMYFUNCTION("IF(ISBLANK(D471),""NA"", VLOOKUP(D471,IMPORTRANGE(""https://docs.google.com/spreadsheets/d/1EdCvim__xyxvoo9WoburDTzYylznTCOJBHcnu7eurMw/edit?gid=15948134#gid=15948134"", ""Input!A1:B2000""),2,FALSE()))"),"NA")</f>
        <v>NA</v>
      </c>
    </row>
    <row r="472" hidden="1">
      <c r="A472" s="1" t="s">
        <v>1557</v>
      </c>
      <c r="B472" s="1">
        <v>8.0</v>
      </c>
      <c r="C472" s="1" t="s">
        <v>1575</v>
      </c>
      <c r="E472" s="16" t="s">
        <v>1220</v>
      </c>
      <c r="F472" s="14" t="s">
        <v>1581</v>
      </c>
      <c r="G472" s="1" t="s">
        <v>54</v>
      </c>
      <c r="H472" s="15" t="s">
        <v>1560</v>
      </c>
      <c r="J472" s="8" t="str">
        <f>IFERROR(__xludf.DUMMYFUNCTION("IF(ISBLANK(F472),""NA"", VLOOKUP(F472,IMPORTRANGE(""https://docs.google.com/spreadsheets/d/1EdCvim__xyxvoo9WoburDTzYylznTCOJBHcnu7eurMw/edit?gid=15948134#gid=15948134"", ""Purpose!A1:B1000""),2,FALSE()))"),"to select best model on validation set")</f>
        <v>to select best model on validation set</v>
      </c>
      <c r="K472" s="8" t="str">
        <f>IFERROR(__xludf.DUMMYFUNCTION("IF(ISBLANK(E472),""NA"", VLOOKUP(E472,IMPORTRANGE(""https://docs.google.com/spreadsheets/d/1EdCvim__xyxvoo9WoburDTzYylznTCOJBHcnu7eurMw/edit?gid=15948134#gid=15948134"", ""Technique!A1:B2000""),2,FALSE()))"),"early stopping")</f>
        <v>early stopping</v>
      </c>
      <c r="L472" s="8" t="str">
        <f>IFERROR(__xludf.DUMMYFUNCTION("IF(ISBLANK(D472),""NA"", VLOOKUP(D472,IMPORTRANGE(""https://docs.google.com/spreadsheets/d/1EdCvim__xyxvoo9WoburDTzYylznTCOJBHcnu7eurMw/edit?gid=15948134#gid=15948134"", ""Input!A1:B2000""),2,FALSE()))"),"NA")</f>
        <v>NA</v>
      </c>
    </row>
    <row r="473" hidden="1">
      <c r="A473" s="1" t="s">
        <v>1557</v>
      </c>
      <c r="B473" s="1">
        <v>12.0</v>
      </c>
      <c r="C473" s="1" t="s">
        <v>1582</v>
      </c>
      <c r="D473" s="1" t="s">
        <v>910</v>
      </c>
      <c r="E473" s="14" t="s">
        <v>1583</v>
      </c>
      <c r="F473" s="14" t="s">
        <v>1584</v>
      </c>
      <c r="G473" s="1" t="s">
        <v>39</v>
      </c>
      <c r="H473" s="15" t="s">
        <v>1560</v>
      </c>
      <c r="J473" s="8" t="str">
        <f>IFERROR(__xludf.DUMMYFUNCTION("IF(ISBLANK(F473),""NA"", VLOOKUP(F473,IMPORTRANGE(""https://docs.google.com/spreadsheets/d/1EdCvim__xyxvoo9WoburDTzYylznTCOJBHcnu7eurMw/edit?gid=15948134#gid=15948134"", ""Purpose!A1:B1000""),2,FALSE()))"),"to evaluate model(s) in real-world use cases")</f>
        <v>to evaluate model(s) in real-world use cases</v>
      </c>
      <c r="K473" s="8" t="str">
        <f>IFERROR(__xludf.DUMMYFUNCTION("IF(ISBLANK(E473),""NA"", VLOOKUP(E473,IMPORTRANGE(""https://docs.google.com/spreadsheets/d/1EdCvim__xyxvoo9WoburDTzYylznTCOJBHcnu7eurMw/edit?gid=15948134#gid=15948134"", ""Technique!A1:B2000""),2,FALSE()))"),"involve human expertise in evaluation, case studies")</f>
        <v>involve human expertise in evaluation, case studies</v>
      </c>
      <c r="L473" s="8" t="str">
        <f>IFERROR(__xludf.DUMMYFUNCTION("IF(ISBLANK(D473),""NA"", VLOOKUP(D473,IMPORTRANGE(""https://docs.google.com/spreadsheets/d/1EdCvim__xyxvoo9WoburDTzYylznTCOJBHcnu7eurMw/edit?gid=15948134#gid=15948134"", ""Input!A1:B2000""),2,FALSE()))"),"model(s)")</f>
        <v>model(s)</v>
      </c>
    </row>
    <row r="474" hidden="1">
      <c r="A474" s="1" t="s">
        <v>1557</v>
      </c>
      <c r="B474" s="1">
        <v>13.0</v>
      </c>
      <c r="C474" s="1" t="s">
        <v>1585</v>
      </c>
      <c r="D474" s="1" t="s">
        <v>910</v>
      </c>
      <c r="E474" s="14" t="s">
        <v>1586</v>
      </c>
      <c r="F474" s="14" t="s">
        <v>1587</v>
      </c>
      <c r="G474" s="1" t="s">
        <v>506</v>
      </c>
      <c r="H474" s="15" t="s">
        <v>1560</v>
      </c>
      <c r="J474" s="8" t="str">
        <f>IFERROR(__xludf.DUMMYFUNCTION("IF(ISBLANK(F474),""NA"", VLOOKUP(F474,IMPORTRANGE(""https://docs.google.com/spreadsheets/d/1EdCvim__xyxvoo9WoburDTzYylznTCOJBHcnu7eurMw/edit?gid=15948134#gid=15948134"", ""Purpose!A1:B1000""),2,FALSE()))"),"to deploy a model")</f>
        <v>to deploy a model</v>
      </c>
      <c r="K474" s="8" t="str">
        <f>IFERROR(__xludf.DUMMYFUNCTION("IF(ISBLANK(E474),""NA"", VLOOKUP(E474,IMPORTRANGE(""https://docs.google.com/spreadsheets/d/1EdCvim__xyxvoo9WoburDTzYylznTCOJBHcnu7eurMw/edit?gid=15948134#gid=15948134"", ""Technique!A1:B2000""),2,FALSE()))"),"deploy the model as a tool that provide live feedback")</f>
        <v>deploy the model as a tool that provide live feedback</v>
      </c>
      <c r="L474" s="8" t="str">
        <f>IFERROR(__xludf.DUMMYFUNCTION("IF(ISBLANK(D474),""NA"", VLOOKUP(D474,IMPORTRANGE(""https://docs.google.com/spreadsheets/d/1EdCvim__xyxvoo9WoburDTzYylznTCOJBHcnu7eurMw/edit?gid=15948134#gid=15948134"", ""Input!A1:B2000""),2,FALSE()))"),"model(s)")</f>
        <v>model(s)</v>
      </c>
    </row>
    <row r="475" hidden="1">
      <c r="A475" s="1" t="s">
        <v>1557</v>
      </c>
      <c r="B475" s="1">
        <v>14.0</v>
      </c>
      <c r="C475" s="1" t="s">
        <v>1585</v>
      </c>
      <c r="D475" s="1" t="s">
        <v>910</v>
      </c>
      <c r="E475" s="14" t="s">
        <v>1588</v>
      </c>
      <c r="F475" s="14" t="s">
        <v>1589</v>
      </c>
      <c r="G475" s="1" t="s">
        <v>506</v>
      </c>
      <c r="H475" s="15" t="s">
        <v>1560</v>
      </c>
      <c r="J475" s="8" t="str">
        <f>IFERROR(__xludf.DUMMYFUNCTION("IF(ISBLANK(F475),""NA"", VLOOKUP(F475,IMPORTRANGE(""https://docs.google.com/spreadsheets/d/1EdCvim__xyxvoo9WoburDTzYylznTCOJBHcnu7eurMw/edit?gid=15948134#gid=15948134"", ""Purpose!A1:B1000""),2,FALSE()))"),"to deploy a model")</f>
        <v>to deploy a model</v>
      </c>
      <c r="K475" s="8" t="str">
        <f>IFERROR(__xludf.DUMMYFUNCTION("IF(ISBLANK(E475),""NA"", VLOOKUP(E475,IMPORTRANGE(""https://docs.google.com/spreadsheets/d/1EdCvim__xyxvoo9WoburDTzYylznTCOJBHcnu7eurMw/edit?gid=15948134#gid=15948134"", ""Technique!A1:B2000""),2,FALSE()))"),"deploy model as part of existing tooling")</f>
        <v>deploy model as part of existing tooling</v>
      </c>
      <c r="L475" s="8" t="str">
        <f>IFERROR(__xludf.DUMMYFUNCTION("IF(ISBLANK(D475),""NA"", VLOOKUP(D475,IMPORTRANGE(""https://docs.google.com/spreadsheets/d/1EdCvim__xyxvoo9WoburDTzYylznTCOJBHcnu7eurMw/edit?gid=15948134#gid=15948134"", ""Input!A1:B2000""),2,FALSE()))"),"model(s)")</f>
        <v>model(s)</v>
      </c>
    </row>
    <row r="476" hidden="1">
      <c r="A476" s="1" t="s">
        <v>1557</v>
      </c>
      <c r="B476" s="1" t="s">
        <v>1590</v>
      </c>
      <c r="C476" s="1" t="s">
        <v>1591</v>
      </c>
      <c r="D476" s="1" t="s">
        <v>1205</v>
      </c>
      <c r="E476" s="14" t="s">
        <v>1592</v>
      </c>
      <c r="F476" s="14" t="s">
        <v>716</v>
      </c>
      <c r="G476" s="1" t="s">
        <v>39</v>
      </c>
      <c r="H476" s="15" t="s">
        <v>1560</v>
      </c>
      <c r="J476" s="8" t="str">
        <f>IFERROR(__xludf.DUMMYFUNCTION("IF(ISBLANK(F476),""NA"", VLOOKUP(F476,IMPORTRANGE(""https://docs.google.com/spreadsheets/d/1EdCvim__xyxvoo9WoburDTzYylznTCOJBHcnu7eurMw/edit?gid=15948134#gid=15948134"", ""Purpose!A1:B1000""),2,FALSE()))"),"to evaluate model(s) functionally (e.g., accuracy)")</f>
        <v>to evaluate model(s) functionally (e.g., accuracy)</v>
      </c>
      <c r="K476" s="8" t="str">
        <f>IFERROR(__xludf.DUMMYFUNCTION("IF(ISBLANK(E476),""NA"", VLOOKUP(E476,IMPORTRANGE(""https://docs.google.com/spreadsheets/d/1EdCvim__xyxvoo9WoburDTzYylznTCOJBHcnu7eurMw/edit?gid=15948134#gid=15948134"", ""Technique!A1:B2000""),2,FALSE()))"),"compute classical metrics (i.e., Accuracy@N, Precision, Recall)")</f>
        <v>compute classical metrics (i.e., Accuracy@N, Precision, Recall)</v>
      </c>
      <c r="L476" s="8" t="str">
        <f>IFERROR(__xludf.DUMMYFUNCTION("IF(ISBLANK(D476),""NA"", VLOOKUP(D476,IMPORTRANGE(""https://docs.google.com/spreadsheets/d/1EdCvim__xyxvoo9WoburDTzYylznTCOJBHcnu7eurMw/edit?gid=15948134#gid=15948134"", ""Input!A1:B2000""),2,FALSE()))"),"data (test set) + model(s)")</f>
        <v>data (test set) + model(s)</v>
      </c>
    </row>
    <row r="477" hidden="1">
      <c r="A477" s="1" t="s">
        <v>1557</v>
      </c>
      <c r="B477" s="1">
        <v>15.0</v>
      </c>
      <c r="C477" s="1" t="s">
        <v>1585</v>
      </c>
      <c r="D477" s="1" t="s">
        <v>910</v>
      </c>
      <c r="E477" s="14" t="s">
        <v>1593</v>
      </c>
      <c r="F477" s="14" t="s">
        <v>1594</v>
      </c>
      <c r="G477" s="1" t="s">
        <v>39</v>
      </c>
      <c r="H477" s="15" t="s">
        <v>1560</v>
      </c>
      <c r="J477" s="8" t="str">
        <f>IFERROR(__xludf.DUMMYFUNCTION("IF(ISBLANK(F477),""NA"", VLOOKUP(F477,IMPORTRANGE(""https://docs.google.com/spreadsheets/d/1EdCvim__xyxvoo9WoburDTzYylznTCOJBHcnu7eurMw/edit?gid=15948134#gid=15948134"", ""Purpose!A1:B1000""),2,FALSE()))"),"to evaluate the need of using ML")</f>
        <v>to evaluate the need of using ML</v>
      </c>
      <c r="K477" s="8" t="str">
        <f>IFERROR(__xludf.DUMMYFUNCTION("IF(ISBLANK(E477),""NA"", VLOOKUP(E477,IMPORTRANGE(""https://docs.google.com/spreadsheets/d/1EdCvim__xyxvoo9WoburDTzYylznTCOJBHcnu7eurMw/edit?gid=15948134#gid=15948134"", ""Technique!A1:B2000""),2,FALSE()))"),"compare the current approach (i.e., ""as is"" solution) with the proposed solution (i.e., ""to be"" solution)")</f>
        <v>compare the current approach (i.e., "as is" solution) with the proposed solution (i.e., "to be" solution)</v>
      </c>
      <c r="L477" s="8" t="str">
        <f>IFERROR(__xludf.DUMMYFUNCTION("IF(ISBLANK(D477),""NA"", VLOOKUP(D477,IMPORTRANGE(""https://docs.google.com/spreadsheets/d/1EdCvim__xyxvoo9WoburDTzYylznTCOJBHcnu7eurMw/edit?gid=15948134#gid=15948134"", ""Input!A1:B2000""),2,FALSE()))"),"model(s)")</f>
        <v>model(s)</v>
      </c>
    </row>
    <row r="478" hidden="1">
      <c r="A478" s="1" t="s">
        <v>1595</v>
      </c>
      <c r="B478" s="1" t="s">
        <v>1241</v>
      </c>
      <c r="C478" s="1" t="s">
        <v>1596</v>
      </c>
      <c r="D478" s="1" t="s">
        <v>1597</v>
      </c>
      <c r="E478" s="16" t="s">
        <v>1598</v>
      </c>
      <c r="F478" s="14" t="s">
        <v>1599</v>
      </c>
      <c r="G478" s="1" t="s">
        <v>54</v>
      </c>
      <c r="H478" s="15" t="s">
        <v>1600</v>
      </c>
      <c r="J478" s="8" t="str">
        <f>IFERROR(__xludf.DUMMYFUNCTION("IF(ISBLANK(F478),""NA"", VLOOKUP(F478,IMPORTRANGE(""https://docs.google.com/spreadsheets/d/1EdCvim__xyxvoo9WoburDTzYylznTCOJBHcnu7eurMw/edit?gid=15948134#gid=15948134"", ""Purpose!A1:B1000""),2,FALSE()))"),"to select best model")</f>
        <v>to select best model</v>
      </c>
      <c r="K478" s="8" t="str">
        <f>IFERROR(__xludf.DUMMYFUNCTION("IF(ISBLANK(E478),""NA"", VLOOKUP(E478,IMPORTRANGE(""https://docs.google.com/spreadsheets/d/1EdCvim__xyxvoo9WoburDTzYylznTCOJBHcnu7eurMw/edit?gid=15948134#gid=15948134"", ""Technique!A1:B2000""),2,FALSE()))"),"select best model in independent dataset(s) from training and testing, best accuracy in validation set")</f>
        <v>select best model in independent dataset(s) from training and testing, best accuracy in validation set</v>
      </c>
      <c r="L478" s="8" t="str">
        <f>IFERROR(__xludf.DUMMYFUNCTION("IF(ISBLANK(D478),""NA"", VLOOKUP(D478,IMPORTRANGE(""https://docs.google.com/spreadsheets/d/1EdCvim__xyxvoo9WoburDTzYylznTCOJBHcnu7eurMw/edit?gid=15948134#gid=15948134"", ""Input!A1:B2000""),2,FALSE()))"),"model(s)")</f>
        <v>model(s)</v>
      </c>
    </row>
    <row r="479" hidden="1">
      <c r="A479" s="1" t="s">
        <v>1595</v>
      </c>
      <c r="B479" s="1" t="s">
        <v>1114</v>
      </c>
      <c r="C479" s="1" t="s">
        <v>1596</v>
      </c>
      <c r="D479" s="1" t="s">
        <v>1597</v>
      </c>
      <c r="E479" s="16" t="s">
        <v>1601</v>
      </c>
      <c r="F479" s="14" t="s">
        <v>1599</v>
      </c>
      <c r="G479" s="1" t="s">
        <v>54</v>
      </c>
      <c r="H479" s="15" t="s">
        <v>1600</v>
      </c>
      <c r="J479" s="8" t="str">
        <f>IFERROR(__xludf.DUMMYFUNCTION("IF(ISBLANK(F479),""NA"", VLOOKUP(F479,IMPORTRANGE(""https://docs.google.com/spreadsheets/d/1EdCvim__xyxvoo9WoburDTzYylznTCOJBHcnu7eurMw/edit?gid=15948134#gid=15948134"", ""Purpose!A1:B1000""),2,FALSE()))"),"to select best model")</f>
        <v>to select best model</v>
      </c>
      <c r="K479" s="8" t="str">
        <f>IFERROR(__xludf.DUMMYFUNCTION("IF(ISBLANK(E479),""NA"", VLOOKUP(E479,IMPORTRANGE(""https://docs.google.com/spreadsheets/d/1EdCvim__xyxvoo9WoburDTzYylznTCOJBHcnu7eurMw/edit?gid=15948134#gid=15948134"", ""Technique!A1:B2000""),2,FALSE()))"),"select best model in independent dataset(s) from training and testing, best loss in validation set")</f>
        <v>select best model in independent dataset(s) from training and testing, best loss in validation set</v>
      </c>
      <c r="L479" s="8" t="str">
        <f>IFERROR(__xludf.DUMMYFUNCTION("IF(ISBLANK(D479),""NA"", VLOOKUP(D479,IMPORTRANGE(""https://docs.google.com/spreadsheets/d/1EdCvim__xyxvoo9WoburDTzYylznTCOJBHcnu7eurMw/edit?gid=15948134#gid=15948134"", ""Input!A1:B2000""),2,FALSE()))"),"model(s)")</f>
        <v>model(s)</v>
      </c>
    </row>
    <row r="480" hidden="1">
      <c r="A480" s="1" t="s">
        <v>1595</v>
      </c>
      <c r="B480" s="1" t="s">
        <v>1602</v>
      </c>
      <c r="C480" s="1" t="s">
        <v>1603</v>
      </c>
      <c r="D480" s="1" t="s">
        <v>1205</v>
      </c>
      <c r="E480" s="14" t="s">
        <v>1604</v>
      </c>
      <c r="F480" s="14" t="s">
        <v>716</v>
      </c>
      <c r="G480" s="1" t="s">
        <v>39</v>
      </c>
      <c r="H480" s="15" t="s">
        <v>1600</v>
      </c>
      <c r="J480" s="8" t="str">
        <f>IFERROR(__xludf.DUMMYFUNCTION("IF(ISBLANK(F480),""NA"", VLOOKUP(F480,IMPORTRANGE(""https://docs.google.com/spreadsheets/d/1EdCvim__xyxvoo9WoburDTzYylznTCOJBHcnu7eurMw/edit?gid=15948134#gid=15948134"", ""Purpose!A1:B1000""),2,FALSE()))"),"to evaluate model(s) functionally (e.g., accuracy)")</f>
        <v>to evaluate model(s) functionally (e.g., accuracy)</v>
      </c>
      <c r="K480" s="8" t="str">
        <f>IFERROR(__xludf.DUMMYFUNCTION("IF(ISBLANK(E480),""NA"", VLOOKUP(E480,IMPORTRANGE(""https://docs.google.com/spreadsheets/d/1EdCvim__xyxvoo9WoburDTzYylznTCOJBHcnu7eurMw/edit?gid=15948134#gid=15948134"", ""Technique!A1:B2000""),2,FALSE()))"),"compute classical metrics (i.e., Accuracy and Accuracy per class)")</f>
        <v>compute classical metrics (i.e., Accuracy and Accuracy per class)</v>
      </c>
      <c r="L480" s="8" t="str">
        <f>IFERROR(__xludf.DUMMYFUNCTION("IF(ISBLANK(D480),""NA"", VLOOKUP(D480,IMPORTRANGE(""https://docs.google.com/spreadsheets/d/1EdCvim__xyxvoo9WoburDTzYylznTCOJBHcnu7eurMw/edit?gid=15948134#gid=15948134"", ""Input!A1:B2000""),2,FALSE()))"),"data (test set) + model(s)")</f>
        <v>data (test set) + model(s)</v>
      </c>
    </row>
    <row r="481" hidden="1">
      <c r="A481" s="1" t="s">
        <v>1595</v>
      </c>
      <c r="B481" s="1" t="s">
        <v>1605</v>
      </c>
      <c r="C481" s="1" t="s">
        <v>1606</v>
      </c>
      <c r="D481" s="1" t="s">
        <v>1551</v>
      </c>
      <c r="E481" s="14" t="s">
        <v>1607</v>
      </c>
      <c r="F481" s="14" t="s">
        <v>1608</v>
      </c>
      <c r="G481" s="1" t="s">
        <v>39</v>
      </c>
      <c r="H481" s="15" t="s">
        <v>1600</v>
      </c>
      <c r="J481" s="8" t="str">
        <f>IFERROR(__xludf.DUMMYFUNCTION("IF(ISBLANK(F481),""NA"", VLOOKUP(F481,IMPORTRANGE(""https://docs.google.com/spreadsheets/d/1EdCvim__xyxvoo9WoburDTzYylznTCOJBHcnu7eurMw/edit?gid=15948134#gid=15948134"", ""Purpose!A1:B1000""),2,FALSE()))"),"to understand statistical significance")</f>
        <v>to understand statistical significance</v>
      </c>
      <c r="K481" s="8" t="str">
        <f>IFERROR(__xludf.DUMMYFUNCTION("IF(ISBLANK(E481),""NA"", VLOOKUP(E481,IMPORTRANGE(""https://docs.google.com/spreadsheets/d/1EdCvim__xyxvoo9WoburDTzYylznTCOJBHcnu7eurMw/edit?gid=15948134#gid=15948134"", ""Technique!A1:B2000""),2,FALSE()))"),"statistical test (Levene's test)")</f>
        <v>statistical test (Levene's test)</v>
      </c>
      <c r="L481" s="8" t="str">
        <f>IFERROR(__xludf.DUMMYFUNCTION("IF(ISBLANK(D481),""NA"", VLOOKUP(D481,IMPORTRANGE(""https://docs.google.com/spreadsheets/d/1EdCvim__xyxvoo9WoburDTzYylznTCOJBHcnu7eurMw/edit?gid=15948134#gid=15948134"", ""Input!A1:B2000""),2,FALSE()))"),"computed metrics")</f>
        <v>computed metrics</v>
      </c>
    </row>
    <row r="482" hidden="1">
      <c r="A482" s="1" t="s">
        <v>1595</v>
      </c>
      <c r="B482" s="1" t="s">
        <v>1609</v>
      </c>
      <c r="C482" s="1" t="s">
        <v>1606</v>
      </c>
      <c r="D482" s="1" t="s">
        <v>1551</v>
      </c>
      <c r="E482" s="14" t="s">
        <v>1610</v>
      </c>
      <c r="F482" s="14" t="s">
        <v>1611</v>
      </c>
      <c r="G482" s="1" t="s">
        <v>39</v>
      </c>
      <c r="H482" s="15" t="s">
        <v>1600</v>
      </c>
      <c r="J482" s="8" t="str">
        <f>IFERROR(__xludf.DUMMYFUNCTION("IF(ISBLANK(F482),""NA"", VLOOKUP(F482,IMPORTRANGE(""https://docs.google.com/spreadsheets/d/1EdCvim__xyxvoo9WoburDTzYylznTCOJBHcnu7eurMw/edit?gid=15948134#gid=15948134"", ""Purpose!A1:B1000""),2,FALSE()))"),"to understand statistical significance")</f>
        <v>to understand statistical significance</v>
      </c>
      <c r="K482" s="8" t="str">
        <f>IFERROR(__xludf.DUMMYFUNCTION("IF(ISBLANK(E482),""NA"", VLOOKUP(E482,IMPORTRANGE(""https://docs.google.com/spreadsheets/d/1EdCvim__xyxvoo9WoburDTzYylznTCOJBHcnu7eurMw/edit?gid=15948134#gid=15948134"", ""Technique!A1:B2000""),2,FALSE()))"),"statistical test (Mann-Whitney-U)")</f>
        <v>statistical test (Mann-Whitney-U)</v>
      </c>
      <c r="L482" s="8" t="str">
        <f>IFERROR(__xludf.DUMMYFUNCTION("IF(ISBLANK(D482),""NA"", VLOOKUP(D482,IMPORTRANGE(""https://docs.google.com/spreadsheets/d/1EdCvim__xyxvoo9WoburDTzYylznTCOJBHcnu7eurMw/edit?gid=15948134#gid=15948134"", ""Input!A1:B2000""),2,FALSE()))"),"computed metrics")</f>
        <v>computed metrics</v>
      </c>
    </row>
    <row r="483" hidden="1">
      <c r="A483" s="1" t="s">
        <v>1595</v>
      </c>
      <c r="B483" s="1" t="s">
        <v>1612</v>
      </c>
      <c r="C483" s="1" t="s">
        <v>1606</v>
      </c>
      <c r="D483" s="1" t="s">
        <v>1551</v>
      </c>
      <c r="E483" s="14" t="s">
        <v>1613</v>
      </c>
      <c r="F483" s="14" t="s">
        <v>1614</v>
      </c>
      <c r="G483" s="1" t="s">
        <v>39</v>
      </c>
      <c r="H483" s="15" t="s">
        <v>1600</v>
      </c>
      <c r="J483" s="8" t="str">
        <f>IFERROR(__xludf.DUMMYFUNCTION("IF(ISBLANK(F483),""NA"", VLOOKUP(F483,IMPORTRANGE(""https://docs.google.com/spreadsheets/d/1EdCvim__xyxvoo9WoburDTzYylznTCOJBHcnu7eurMw/edit?gid=15948134#gid=15948134"", ""Purpose!A1:B1000""),2,FALSE()))"),"to understand the magnitud of the differences")</f>
        <v>to understand the magnitud of the differences</v>
      </c>
      <c r="K483" s="8" t="str">
        <f>IFERROR(__xludf.DUMMYFUNCTION("IF(ISBLANK(E483),""NA"", VLOOKUP(E483,IMPORTRANGE(""https://docs.google.com/spreadsheets/d/1EdCvim__xyxvoo9WoburDTzYylznTCOJBHcnu7eurMw/edit?gid=15948134#gid=15948134"", ""Technique!A1:B2000""),2,FALSE()))"),"use effect sizes, Cohen's d")</f>
        <v>use effect sizes, Cohen's d</v>
      </c>
      <c r="L483" s="8" t="str">
        <f>IFERROR(__xludf.DUMMYFUNCTION("IF(ISBLANK(D483),""NA"", VLOOKUP(D483,IMPORTRANGE(""https://docs.google.com/spreadsheets/d/1EdCvim__xyxvoo9WoburDTzYylznTCOJBHcnu7eurMw/edit?gid=15948134#gid=15948134"", ""Input!A1:B2000""),2,FALSE()))"),"computed metrics")</f>
        <v>computed metrics</v>
      </c>
    </row>
    <row r="484" hidden="1">
      <c r="A484" s="1" t="s">
        <v>1595</v>
      </c>
      <c r="B484" s="1">
        <v>11.0</v>
      </c>
      <c r="C484" s="1" t="s">
        <v>1615</v>
      </c>
      <c r="E484" s="14" t="s">
        <v>1616</v>
      </c>
      <c r="F484" s="14" t="s">
        <v>1617</v>
      </c>
      <c r="G484" s="1" t="s">
        <v>39</v>
      </c>
      <c r="H484" s="15" t="s">
        <v>1600</v>
      </c>
      <c r="J484" s="8" t="str">
        <f>IFERROR(__xludf.DUMMYFUNCTION("IF(ISBLANK(F484),""NA"", VLOOKUP(F484,IMPORTRANGE(""https://docs.google.com/spreadsheets/d/1EdCvim__xyxvoo9WoburDTzYylznTCOJBHcnu7eurMw/edit?gid=15948134#gid=15948134"", ""Purpose!A1:B1000""),2,FALSE()))"),"to evaluate model(s) functionally (e.g., accuracy) against others")</f>
        <v>to evaluate model(s) functionally (e.g., accuracy) against others</v>
      </c>
      <c r="K484" s="8" t="str">
        <f>IFERROR(__xludf.DUMMYFUNCTION("IF(ISBLANK(E484),""NA"", VLOOKUP(E484,IMPORTRANGE(""https://docs.google.com/spreadsheets/d/1EdCvim__xyxvoo9WoburDTzYylznTCOJBHcnu7eurMw/edit?gid=15948134#gid=15948134"", ""Technique!A1:B2000""),2,FALSE()))"),"evaluate the deep learning testing in multiple models and datasets")</f>
        <v>evaluate the deep learning testing in multiple models and datasets</v>
      </c>
      <c r="L484" s="8" t="str">
        <f>IFERROR(__xludf.DUMMYFUNCTION("IF(ISBLANK(D484),""NA"", VLOOKUP(D484,IMPORTRANGE(""https://docs.google.com/spreadsheets/d/1EdCvim__xyxvoo9WoburDTzYylznTCOJBHcnu7eurMw/edit?gid=15948134#gid=15948134"", ""Input!A1:B2000""),2,FALSE()))"),"NA")</f>
        <v>NA</v>
      </c>
    </row>
    <row r="485" hidden="1">
      <c r="A485" s="1" t="s">
        <v>1618</v>
      </c>
      <c r="B485" s="1">
        <v>1.0</v>
      </c>
      <c r="C485" s="1" t="s">
        <v>1619</v>
      </c>
      <c r="D485" s="1" t="s">
        <v>1205</v>
      </c>
      <c r="E485" s="14" t="s">
        <v>1620</v>
      </c>
      <c r="F485" s="14" t="s">
        <v>1621</v>
      </c>
      <c r="G485" s="1" t="s">
        <v>14</v>
      </c>
      <c r="H485" s="15" t="s">
        <v>289</v>
      </c>
      <c r="J485" s="8" t="str">
        <f>IFERROR(__xludf.DUMMYFUNCTION("IF(ISBLANK(F485),""NA"", VLOOKUP(F485,IMPORTRANGE(""https://docs.google.com/spreadsheets/d/1EdCvim__xyxvoo9WoburDTzYylznTCOJBHcnu7eurMw/edit?gid=15948134#gid=15948134"", ""Purpose!A1:B1000""),2,FALSE()))"),"to compute numerical features for ranking")</f>
        <v>to compute numerical features for ranking</v>
      </c>
      <c r="K485" s="8" t="str">
        <f>IFERROR(__xludf.DUMMYFUNCTION("IF(ISBLANK(E485),""NA"", VLOOKUP(E485,IMPORTRANGE(""https://docs.google.com/spreadsheets/d/1EdCvim__xyxvoo9WoburDTzYylznTCOJBHcnu7eurMw/edit?gid=15948134#gid=15948134"", ""Technique!A1:B2000""),2,FALSE()))"),"feature engineering, compute metrics (i.e., code metrics under test and test execution time and failure history)")</f>
        <v>feature engineering, compute metrics (i.e., code metrics under test and test execution time and failure history)</v>
      </c>
      <c r="L485" s="8" t="str">
        <f>IFERROR(__xludf.DUMMYFUNCTION("IF(ISBLANK(D485),""NA"", VLOOKUP(D485,IMPORTRANGE(""https://docs.google.com/spreadsheets/d/1EdCvim__xyxvoo9WoburDTzYylznTCOJBHcnu7eurMw/edit?gid=15948134#gid=15948134"", ""Input!A1:B2000""),2,FALSE()))"),"data (test set) + model(s)")</f>
        <v>data (test set) + model(s)</v>
      </c>
    </row>
    <row r="486" hidden="1">
      <c r="A486" s="1" t="s">
        <v>1618</v>
      </c>
      <c r="B486" s="1">
        <v>2.0</v>
      </c>
      <c r="C486" s="1" t="s">
        <v>1622</v>
      </c>
      <c r="D486" s="1" t="s">
        <v>698</v>
      </c>
      <c r="E486" s="16" t="s">
        <v>1623</v>
      </c>
      <c r="F486" s="14" t="s">
        <v>1624</v>
      </c>
      <c r="G486" s="1" t="s">
        <v>54</v>
      </c>
      <c r="H486" s="15" t="s">
        <v>289</v>
      </c>
      <c r="J486" s="8" t="str">
        <f>IFERROR(__xludf.DUMMYFUNCTION("IF(ISBLANK(F486),""NA"", VLOOKUP(F486,IMPORTRANGE(""https://docs.google.com/spreadsheets/d/1EdCvim__xyxvoo9WoburDTzYylznTCOJBHcnu7eurMw/edit?gid=15948134#gid=15948134"", ""Purpose!A1:B1000""),2,FALSE()))"),"to train a model for ranking tasks (i.e., test prioritization)")</f>
        <v>to train a model for ranking tasks (i.e., test prioritization)</v>
      </c>
      <c r="K486" s="8" t="str">
        <f>IFERROR(__xludf.DUMMYFUNCTION("IF(ISBLANK(E486),""NA"", VLOOKUP(E486,IMPORTRANGE(""https://docs.google.com/spreadsheets/d/1EdCvim__xyxvoo9WoburDTzYylznTCOJBHcnu7eurMw/edit?gid=15948134#gid=15948134"", ""Technique!A1:B2000""),2,FALSE()))"),"use k-nearest neighbors, for ranking")</f>
        <v>use k-nearest neighbors, for ranking</v>
      </c>
      <c r="L486" s="8" t="str">
        <f>IFERROR(__xludf.DUMMYFUNCTION("IF(ISBLANK(D486),""NA"", VLOOKUP(D486,IMPORTRANGE(""https://docs.google.com/spreadsheets/d/1EdCvim__xyxvoo9WoburDTzYylznTCOJBHcnu7eurMw/edit?gid=15948134#gid=15948134"", ""Input!A1:B2000""),2,FALSE()))"),"data (training set)")</f>
        <v>data (training set)</v>
      </c>
    </row>
    <row r="487" hidden="1">
      <c r="A487" s="1" t="s">
        <v>1618</v>
      </c>
      <c r="B487" s="1">
        <v>3.0</v>
      </c>
      <c r="C487" s="1" t="s">
        <v>1622</v>
      </c>
      <c r="D487" s="1" t="s">
        <v>698</v>
      </c>
      <c r="E487" s="16" t="s">
        <v>1625</v>
      </c>
      <c r="F487" s="14" t="s">
        <v>1624</v>
      </c>
      <c r="G487" s="1" t="s">
        <v>54</v>
      </c>
      <c r="H487" s="15" t="s">
        <v>289</v>
      </c>
      <c r="J487" s="8" t="str">
        <f>IFERROR(__xludf.DUMMYFUNCTION("IF(ISBLANK(F487),""NA"", VLOOKUP(F487,IMPORTRANGE(""https://docs.google.com/spreadsheets/d/1EdCvim__xyxvoo9WoburDTzYylznTCOJBHcnu7eurMw/edit?gid=15948134#gid=15948134"", ""Purpose!A1:B1000""),2,FALSE()))"),"to train a model for ranking tasks (i.e., test prioritization)")</f>
        <v>to train a model for ranking tasks (i.e., test prioritization)</v>
      </c>
      <c r="K487" s="8" t="str">
        <f>IFERROR(__xludf.DUMMYFUNCTION("IF(ISBLANK(E487),""NA"", VLOOKUP(E487,IMPORTRANGE(""https://docs.google.com/spreadsheets/d/1EdCvim__xyxvoo9WoburDTzYylznTCOJBHcnu7eurMw/edit?gid=15948134#gid=15948134"", ""Technique!A1:B2000""),2,FALSE()))"),"use random forest, for ranking")</f>
        <v>use random forest, for ranking</v>
      </c>
      <c r="L487" s="8" t="str">
        <f>IFERROR(__xludf.DUMMYFUNCTION("IF(ISBLANK(D487),""NA"", VLOOKUP(D487,IMPORTRANGE(""https://docs.google.com/spreadsheets/d/1EdCvim__xyxvoo9WoburDTzYylznTCOJBHcnu7eurMw/edit?gid=15948134#gid=15948134"", ""Input!A1:B2000""),2,FALSE()))"),"data (training set)")</f>
        <v>data (training set)</v>
      </c>
    </row>
    <row r="488" hidden="1">
      <c r="A488" s="1" t="s">
        <v>1618</v>
      </c>
      <c r="B488" s="1">
        <v>4.0</v>
      </c>
      <c r="C488" s="1" t="s">
        <v>1622</v>
      </c>
      <c r="D488" s="1" t="s">
        <v>698</v>
      </c>
      <c r="E488" s="16" t="s">
        <v>1626</v>
      </c>
      <c r="F488" s="14" t="s">
        <v>1624</v>
      </c>
      <c r="G488" s="1" t="s">
        <v>54</v>
      </c>
      <c r="H488" s="15" t="s">
        <v>289</v>
      </c>
      <c r="J488" s="8" t="str">
        <f>IFERROR(__xludf.DUMMYFUNCTION("IF(ISBLANK(F488),""NA"", VLOOKUP(F488,IMPORTRANGE(""https://docs.google.com/spreadsheets/d/1EdCvim__xyxvoo9WoburDTzYylznTCOJBHcnu7eurMw/edit?gid=15948134#gid=15948134"", ""Purpose!A1:B1000""),2,FALSE()))"),"to train a model for ranking tasks (i.e., test prioritization)")</f>
        <v>to train a model for ranking tasks (i.e., test prioritization)</v>
      </c>
      <c r="K488" s="8" t="str">
        <f>IFERROR(__xludf.DUMMYFUNCTION("IF(ISBLANK(E488),""NA"", VLOOKUP(E488,IMPORTRANGE(""https://docs.google.com/spreadsheets/d/1EdCvim__xyxvoo9WoburDTzYylznTCOJBHcnu7eurMw/edit?gid=15948134#gid=15948134"", ""Technique!A1:B2000""),2,FALSE()))"),"use LambdaMART, for ranking")</f>
        <v>use LambdaMART, for ranking</v>
      </c>
      <c r="L488" s="8" t="str">
        <f>IFERROR(__xludf.DUMMYFUNCTION("IF(ISBLANK(D488),""NA"", VLOOKUP(D488,IMPORTRANGE(""https://docs.google.com/spreadsheets/d/1EdCvim__xyxvoo9WoburDTzYylznTCOJBHcnu7eurMw/edit?gid=15948134#gid=15948134"", ""Input!A1:B2000""),2,FALSE()))"),"data (training set)")</f>
        <v>data (training set)</v>
      </c>
    </row>
    <row r="489" hidden="1">
      <c r="A489" s="1" t="s">
        <v>1618</v>
      </c>
      <c r="B489" s="1">
        <v>5.0</v>
      </c>
      <c r="C489" s="1" t="s">
        <v>1622</v>
      </c>
      <c r="D489" s="1" t="s">
        <v>698</v>
      </c>
      <c r="E489" s="16" t="s">
        <v>1627</v>
      </c>
      <c r="F489" s="14" t="s">
        <v>1624</v>
      </c>
      <c r="G489" s="1" t="s">
        <v>54</v>
      </c>
      <c r="H489" s="15" t="s">
        <v>289</v>
      </c>
      <c r="J489" s="8" t="str">
        <f>IFERROR(__xludf.DUMMYFUNCTION("IF(ISBLANK(F489),""NA"", VLOOKUP(F489,IMPORTRANGE(""https://docs.google.com/spreadsheets/d/1EdCvim__xyxvoo9WoburDTzYylznTCOJBHcnu7eurMw/edit?gid=15948134#gid=15948134"", ""Purpose!A1:B1000""),2,FALSE()))"),"to train a model for ranking tasks (i.e., test prioritization)")</f>
        <v>to train a model for ranking tasks (i.e., test prioritization)</v>
      </c>
      <c r="K489" s="8" t="str">
        <f>IFERROR(__xludf.DUMMYFUNCTION("IF(ISBLANK(E489),""NA"", VLOOKUP(E489,IMPORTRANGE(""https://docs.google.com/spreadsheets/d/1EdCvim__xyxvoo9WoburDTzYylznTCOJBHcnu7eurMw/edit?gid=15948134#gid=15948134"", ""Technique!A1:B2000""),2,FALSE()))"),"use MART, for ranking")</f>
        <v>use MART, for ranking</v>
      </c>
      <c r="L489" s="8" t="str">
        <f>IFERROR(__xludf.DUMMYFUNCTION("IF(ISBLANK(D489),""NA"", VLOOKUP(D489,IMPORTRANGE(""https://docs.google.com/spreadsheets/d/1EdCvim__xyxvoo9WoburDTzYylznTCOJBHcnu7eurMw/edit?gid=15948134#gid=15948134"", ""Input!A1:B2000""),2,FALSE()))"),"data (training set)")</f>
        <v>data (training set)</v>
      </c>
    </row>
    <row r="490" hidden="1">
      <c r="A490" s="1" t="s">
        <v>1618</v>
      </c>
      <c r="B490" s="1">
        <v>6.0</v>
      </c>
      <c r="C490" s="1" t="s">
        <v>1622</v>
      </c>
      <c r="D490" s="1" t="s">
        <v>698</v>
      </c>
      <c r="E490" s="16" t="s">
        <v>1628</v>
      </c>
      <c r="F490" s="14" t="s">
        <v>1624</v>
      </c>
      <c r="G490" s="1" t="s">
        <v>54</v>
      </c>
      <c r="H490" s="15" t="s">
        <v>289</v>
      </c>
      <c r="J490" s="8" t="str">
        <f>IFERROR(__xludf.DUMMYFUNCTION("IF(ISBLANK(F490),""NA"", VLOOKUP(F490,IMPORTRANGE(""https://docs.google.com/spreadsheets/d/1EdCvim__xyxvoo9WoburDTzYylznTCOJBHcnu7eurMw/edit?gid=15948134#gid=15948134"", ""Purpose!A1:B1000""),2,FALSE()))"),"to train a model for ranking tasks (i.e., test prioritization)")</f>
        <v>to train a model for ranking tasks (i.e., test prioritization)</v>
      </c>
      <c r="K490" s="8" t="str">
        <f>IFERROR(__xludf.DUMMYFUNCTION("IF(ISBLANK(E490),""NA"", VLOOKUP(E490,IMPORTRANGE(""https://docs.google.com/spreadsheets/d/1EdCvim__xyxvoo9WoburDTzYylznTCOJBHcnu7eurMw/edit?gid=15948134#gid=15948134"", ""Technique!A1:B2000""),2,FALSE()))"),"use RankBoost")</f>
        <v>use RankBoost</v>
      </c>
      <c r="L490" s="8" t="str">
        <f>IFERROR(__xludf.DUMMYFUNCTION("IF(ISBLANK(D490),""NA"", VLOOKUP(D490,IMPORTRANGE(""https://docs.google.com/spreadsheets/d/1EdCvim__xyxvoo9WoburDTzYylznTCOJBHcnu7eurMw/edit?gid=15948134#gid=15948134"", ""Input!A1:B2000""),2,FALSE()))"),"data (training set)")</f>
        <v>data (training set)</v>
      </c>
    </row>
    <row r="491" hidden="1">
      <c r="A491" s="1" t="s">
        <v>1618</v>
      </c>
      <c r="B491" s="1">
        <v>7.0</v>
      </c>
      <c r="C491" s="1" t="s">
        <v>1622</v>
      </c>
      <c r="D491" s="1" t="s">
        <v>698</v>
      </c>
      <c r="E491" s="16" t="s">
        <v>1629</v>
      </c>
      <c r="F491" s="14" t="s">
        <v>1624</v>
      </c>
      <c r="G491" s="1" t="s">
        <v>54</v>
      </c>
      <c r="H491" s="15" t="s">
        <v>289</v>
      </c>
      <c r="J491" s="8" t="str">
        <f>IFERROR(__xludf.DUMMYFUNCTION("IF(ISBLANK(F491),""NA"", VLOOKUP(F491,IMPORTRANGE(""https://docs.google.com/spreadsheets/d/1EdCvim__xyxvoo9WoburDTzYylznTCOJBHcnu7eurMw/edit?gid=15948134#gid=15948134"", ""Purpose!A1:B1000""),2,FALSE()))"),"to train a model for ranking tasks (i.e., test prioritization)")</f>
        <v>to train a model for ranking tasks (i.e., test prioritization)</v>
      </c>
      <c r="K491" s="8" t="str">
        <f>IFERROR(__xludf.DUMMYFUNCTION("IF(ISBLANK(E491),""NA"", VLOOKUP(E491,IMPORTRANGE(""https://docs.google.com/spreadsheets/d/1EdCvim__xyxvoo9WoburDTzYylznTCOJBHcnu7eurMw/edit?gid=15948134#gid=15948134"", ""Technique!A1:B2000""),2,FALSE()))"),"use Coordinate ASCENT (ranking algorithm)")</f>
        <v>use Coordinate ASCENT (ranking algorithm)</v>
      </c>
      <c r="L491" s="8" t="str">
        <f>IFERROR(__xludf.DUMMYFUNCTION("IF(ISBLANK(D491),""NA"", VLOOKUP(D491,IMPORTRANGE(""https://docs.google.com/spreadsheets/d/1EdCvim__xyxvoo9WoburDTzYylznTCOJBHcnu7eurMw/edit?gid=15948134#gid=15948134"", ""Input!A1:B2000""),2,FALSE()))"),"data (training set)")</f>
        <v>data (training set)</v>
      </c>
    </row>
    <row r="492" hidden="1">
      <c r="A492" s="1" t="s">
        <v>1618</v>
      </c>
      <c r="B492" s="1">
        <v>8.0</v>
      </c>
      <c r="C492" s="1" t="s">
        <v>1622</v>
      </c>
      <c r="D492" s="1" t="s">
        <v>698</v>
      </c>
      <c r="E492" s="16" t="s">
        <v>1630</v>
      </c>
      <c r="F492" s="14" t="s">
        <v>1624</v>
      </c>
      <c r="G492" s="1" t="s">
        <v>54</v>
      </c>
      <c r="H492" s="15" t="s">
        <v>289</v>
      </c>
      <c r="J492" s="8" t="str">
        <f>IFERROR(__xludf.DUMMYFUNCTION("IF(ISBLANK(F492),""NA"", VLOOKUP(F492,IMPORTRANGE(""https://docs.google.com/spreadsheets/d/1EdCvim__xyxvoo9WoburDTzYylznTCOJBHcnu7eurMw/edit?gid=15948134#gid=15948134"", ""Purpose!A1:B1000""),2,FALSE()))"),"to train a model for ranking tasks (i.e., test prioritization)")</f>
        <v>to train a model for ranking tasks (i.e., test prioritization)</v>
      </c>
      <c r="K492" s="8" t="str">
        <f>IFERROR(__xludf.DUMMYFUNCTION("IF(ISBLANK(E492),""NA"", VLOOKUP(E492,IMPORTRANGE(""https://docs.google.com/spreadsheets/d/1EdCvim__xyxvoo9WoburDTzYylznTCOJBHcnu7eurMw/edit?gid=15948134#gid=15948134"", ""Technique!A1:B2000""),2,FALSE()))"),"use reinforcement learning + shallow NN")</f>
        <v>use reinforcement learning + shallow NN</v>
      </c>
      <c r="L492" s="8" t="str">
        <f>IFERROR(__xludf.DUMMYFUNCTION("IF(ISBLANK(D492),""NA"", VLOOKUP(D492,IMPORTRANGE(""https://docs.google.com/spreadsheets/d/1EdCvim__xyxvoo9WoburDTzYylznTCOJBHcnu7eurMw/edit?gid=15948134#gid=15948134"", ""Input!A1:B2000""),2,FALSE()))"),"data (training set)")</f>
        <v>data (training set)</v>
      </c>
    </row>
    <row r="493" hidden="1">
      <c r="A493" s="1" t="s">
        <v>1618</v>
      </c>
      <c r="B493" s="1">
        <v>9.0</v>
      </c>
      <c r="C493" s="1" t="s">
        <v>1622</v>
      </c>
      <c r="D493" s="1" t="s">
        <v>698</v>
      </c>
      <c r="E493" s="16" t="s">
        <v>1631</v>
      </c>
      <c r="F493" s="14" t="s">
        <v>1624</v>
      </c>
      <c r="G493" s="1" t="s">
        <v>54</v>
      </c>
      <c r="H493" s="15" t="s">
        <v>289</v>
      </c>
      <c r="J493" s="8" t="str">
        <f>IFERROR(__xludf.DUMMYFUNCTION("IF(ISBLANK(F493),""NA"", VLOOKUP(F493,IMPORTRANGE(""https://docs.google.com/spreadsheets/d/1EdCvim__xyxvoo9WoburDTzYylznTCOJBHcnu7eurMw/edit?gid=15948134#gid=15948134"", ""Purpose!A1:B1000""),2,FALSE()))"),"to train a model for ranking tasks (i.e., test prioritization)")</f>
        <v>to train a model for ranking tasks (i.e., test prioritization)</v>
      </c>
      <c r="K493" s="8" t="str">
        <f>IFERROR(__xludf.DUMMYFUNCTION("IF(ISBLANK(E493),""NA"", VLOOKUP(E493,IMPORTRANGE(""https://docs.google.com/spreadsheets/d/1EdCvim__xyxvoo9WoburDTzYylznTCOJBHcnu7eurMw/edit?gid=15948134#gid=15948134"", ""Technique!A1:B2000""),2,FALSE()))"),"use reinforcement learning + multi layer perceptron")</f>
        <v>use reinforcement learning + multi layer perceptron</v>
      </c>
      <c r="L493" s="8" t="str">
        <f>IFERROR(__xludf.DUMMYFUNCTION("IF(ISBLANK(D493),""NA"", VLOOKUP(D493,IMPORTRANGE(""https://docs.google.com/spreadsheets/d/1EdCvim__xyxvoo9WoburDTzYylznTCOJBHcnu7eurMw/edit?gid=15948134#gid=15948134"", ""Input!A1:B2000""),2,FALSE()))"),"data (training set)")</f>
        <v>data (training set)</v>
      </c>
    </row>
    <row r="494" hidden="1">
      <c r="A494" s="1" t="s">
        <v>1618</v>
      </c>
      <c r="B494" s="1">
        <v>10.0</v>
      </c>
      <c r="C494" s="1" t="s">
        <v>1622</v>
      </c>
      <c r="D494" s="1" t="s">
        <v>698</v>
      </c>
      <c r="E494" s="16" t="s">
        <v>1632</v>
      </c>
      <c r="F494" s="14" t="s">
        <v>1624</v>
      </c>
      <c r="G494" s="1" t="s">
        <v>54</v>
      </c>
      <c r="H494" s="15" t="s">
        <v>289</v>
      </c>
      <c r="J494" s="8" t="str">
        <f>IFERROR(__xludf.DUMMYFUNCTION("IF(ISBLANK(F494),""NA"", VLOOKUP(F494,IMPORTRANGE(""https://docs.google.com/spreadsheets/d/1EdCvim__xyxvoo9WoburDTzYylznTCOJBHcnu7eurMw/edit?gid=15948134#gid=15948134"", ""Purpose!A1:B1000""),2,FALSE()))"),"to train a model for ranking tasks (i.e., test prioritization)")</f>
        <v>to train a model for ranking tasks (i.e., test prioritization)</v>
      </c>
      <c r="K494" s="8" t="str">
        <f>IFERROR(__xludf.DUMMYFUNCTION("IF(ISBLANK(E494),""NA"", VLOOKUP(E494,IMPORTRANGE(""https://docs.google.com/spreadsheets/d/1EdCvim__xyxvoo9WoburDTzYylznTCOJBHcnu7eurMw/edit?gid=15948134#gid=15948134"", ""Technique!A1:B2000""),2,FALSE()))"),"use reinforcement learning + random forest")</f>
        <v>use reinforcement learning + random forest</v>
      </c>
      <c r="L494" s="8" t="str">
        <f>IFERROR(__xludf.DUMMYFUNCTION("IF(ISBLANK(D494),""NA"", VLOOKUP(D494,IMPORTRANGE(""https://docs.google.com/spreadsheets/d/1EdCvim__xyxvoo9WoburDTzYylznTCOJBHcnu7eurMw/edit?gid=15948134#gid=15948134"", ""Input!A1:B2000""),2,FALSE()))"),"data (training set)")</f>
        <v>data (training set)</v>
      </c>
    </row>
    <row r="495" hidden="1">
      <c r="A495" s="1" t="s">
        <v>1618</v>
      </c>
      <c r="B495" s="1">
        <v>17.0</v>
      </c>
      <c r="C495" s="1" t="s">
        <v>1633</v>
      </c>
      <c r="E495" s="14" t="s">
        <v>1634</v>
      </c>
      <c r="F495" s="14" t="s">
        <v>98</v>
      </c>
      <c r="G495" s="1" t="s">
        <v>44</v>
      </c>
      <c r="H495" s="15" t="s">
        <v>289</v>
      </c>
      <c r="J495" s="8" t="str">
        <f>IFERROR(__xludf.DUMMYFUNCTION("IF(ISBLANK(F495),""NA"", VLOOKUP(F495,IMPORTRANGE(""https://docs.google.com/spreadsheets/d/1EdCvim__xyxvoo9WoburDTzYylznTCOJBHcnu7eurMw/edit?gid=15948134#gid=15948134"", ""Purpose!A1:B1000""),2,FALSE()))"),"to collect data")</f>
        <v>to collect data</v>
      </c>
      <c r="K495" s="8" t="str">
        <f>IFERROR(__xludf.DUMMYFUNCTION("IF(ISBLANK(E495),""NA"", VLOOKUP(E495,IMPORTRANGE(""https://docs.google.com/spreadsheets/d/1EdCvim__xyxvoo9WoburDTzYylznTCOJBHcnu7eurMw/edit?gid=15948134#gid=15948134"", ""Technique!A1:B2000""),2,FALSE()))"),"collect own data from open-source projects")</f>
        <v>collect own data from open-source projects</v>
      </c>
      <c r="L495" s="8" t="str">
        <f>IFERROR(__xludf.DUMMYFUNCTION("IF(ISBLANK(D495),""NA"", VLOOKUP(D495,IMPORTRANGE(""https://docs.google.com/spreadsheets/d/1EdCvim__xyxvoo9WoburDTzYylznTCOJBHcnu7eurMw/edit?gid=15948134#gid=15948134"", ""Input!A1:B2000""),2,FALSE()))"),"NA")</f>
        <v>NA</v>
      </c>
    </row>
    <row r="496" hidden="1">
      <c r="A496" s="1" t="s">
        <v>1618</v>
      </c>
      <c r="B496" s="1">
        <v>18.0</v>
      </c>
      <c r="C496" s="1" t="s">
        <v>1635</v>
      </c>
      <c r="E496" s="14" t="s">
        <v>1636</v>
      </c>
      <c r="F496" s="33" t="s">
        <v>1637</v>
      </c>
      <c r="G496" s="1" t="s">
        <v>39</v>
      </c>
      <c r="H496" s="15" t="s">
        <v>289</v>
      </c>
      <c r="J496" s="8" t="str">
        <f>IFERROR(__xludf.DUMMYFUNCTION("IF(ISBLANK(F496),""NA"", VLOOKUP(F496,IMPORTRANGE(""https://docs.google.com/spreadsheets/d/1EdCvim__xyxvoo9WoburDTzYylznTCOJBHcnu7eurMw/edit?gid=15948134#gid=15948134"", ""Purpose!A1:B1000""),2,FALSE()))"),"to evaluate model(s) functionally (e.g., accuracy)")</f>
        <v>to evaluate model(s) functionally (e.g., accuracy)</v>
      </c>
      <c r="K496" s="8" t="str">
        <f>IFERROR(__xludf.DUMMYFUNCTION("IF(ISBLANK(E496),""NA"", VLOOKUP(E496,IMPORTRANGE(""https://docs.google.com/spreadsheets/d/1EdCvim__xyxvoo9WoburDTzYylznTCOJBHcnu7eurMw/edit?gid=15948134#gid=15948134"", ""Technique!A1:B2000""),2,FALSE()))"),"compute metrics (i.e., Rank Percentile Average)")</f>
        <v>compute metrics (i.e., Rank Percentile Average)</v>
      </c>
      <c r="L496" s="8" t="str">
        <f>IFERROR(__xludf.DUMMYFUNCTION("IF(ISBLANK(D496),""NA"", VLOOKUP(D496,IMPORTRANGE(""https://docs.google.com/spreadsheets/d/1EdCvim__xyxvoo9WoburDTzYylznTCOJBHcnu7eurMw/edit?gid=15948134#gid=15948134"", ""Input!A1:B2000""),2,FALSE()))"),"NA")</f>
        <v>NA</v>
      </c>
    </row>
    <row r="497" hidden="1">
      <c r="A497" s="1" t="s">
        <v>1618</v>
      </c>
      <c r="B497" s="1" t="s">
        <v>1459</v>
      </c>
      <c r="C497" s="1" t="s">
        <v>1638</v>
      </c>
      <c r="D497" s="1" t="s">
        <v>1551</v>
      </c>
      <c r="E497" s="14" t="s">
        <v>1639</v>
      </c>
      <c r="F497" s="14" t="s">
        <v>1640</v>
      </c>
      <c r="G497" s="1" t="s">
        <v>39</v>
      </c>
      <c r="H497" s="15" t="s">
        <v>289</v>
      </c>
      <c r="J497" s="8" t="str">
        <f>IFERROR(__xludf.DUMMYFUNCTION("IF(ISBLANK(F497),""NA"", VLOOKUP(F497,IMPORTRANGE(""https://docs.google.com/spreadsheets/d/1EdCvim__xyxvoo9WoburDTzYylznTCOJBHcnu7eurMw/edit?gid=15948134#gid=15948134"", ""Purpose!A1:B1000""),2,FALSE()))"),"to understand statistical significance")</f>
        <v>to understand statistical significance</v>
      </c>
      <c r="K497" s="8" t="str">
        <f>IFERROR(__xludf.DUMMYFUNCTION("IF(ISBLANK(E497),""NA"", VLOOKUP(E497,IMPORTRANGE(""https://docs.google.com/spreadsheets/d/1EdCvim__xyxvoo9WoburDTzYylznTCOJBHcnu7eurMw/edit?gid=15948134#gid=15948134"", ""Technique!A1:B2000""),2,FALSE()))"),"statistical test (Skillings-Mack)")</f>
        <v>statistical test (Skillings-Mack)</v>
      </c>
      <c r="L497" s="8" t="str">
        <f>IFERROR(__xludf.DUMMYFUNCTION("IF(ISBLANK(D497),""NA"", VLOOKUP(D497,IMPORTRANGE(""https://docs.google.com/spreadsheets/d/1EdCvim__xyxvoo9WoburDTzYylznTCOJBHcnu7eurMw/edit?gid=15948134#gid=15948134"", ""Input!A1:B2000""),2,FALSE()))"),"computed metrics")</f>
        <v>computed metrics</v>
      </c>
    </row>
    <row r="498" hidden="1">
      <c r="A498" s="1" t="s">
        <v>1618</v>
      </c>
      <c r="B498" s="1" t="s">
        <v>1641</v>
      </c>
      <c r="C498" s="1" t="s">
        <v>1642</v>
      </c>
      <c r="D498" s="1" t="s">
        <v>1551</v>
      </c>
      <c r="E498" s="14" t="s">
        <v>1643</v>
      </c>
      <c r="F498" s="14" t="s">
        <v>1644</v>
      </c>
      <c r="G498" s="1" t="s">
        <v>39</v>
      </c>
      <c r="H498" s="15" t="s">
        <v>289</v>
      </c>
      <c r="J498" s="8" t="str">
        <f>IFERROR(__xludf.DUMMYFUNCTION("IF(ISBLANK(F498),""NA"", VLOOKUP(F498,IMPORTRANGE(""https://docs.google.com/spreadsheets/d/1EdCvim__xyxvoo9WoburDTzYylznTCOJBHcnu7eurMw/edit?gid=15948134#gid=15948134"", ""Purpose!A1:B1000""),2,FALSE()))"),"to understand statistical significance")</f>
        <v>to understand statistical significance</v>
      </c>
      <c r="K498" s="8" t="str">
        <f>IFERROR(__xludf.DUMMYFUNCTION("IF(ISBLANK(E498),""NA"", VLOOKUP(E498,IMPORTRANGE(""https://docs.google.com/spreadsheets/d/1EdCvim__xyxvoo9WoburDTzYylznTCOJBHcnu7eurMw/edit?gid=15948134#gid=15948134"", ""Technique!A1:B2000""),2,FALSE()))"),"statistical test (Mann-Whitney-U)")</f>
        <v>statistical test (Mann-Whitney-U)</v>
      </c>
      <c r="L498" s="8" t="str">
        <f>IFERROR(__xludf.DUMMYFUNCTION("IF(ISBLANK(D498),""NA"", VLOOKUP(D498,IMPORTRANGE(""https://docs.google.com/spreadsheets/d/1EdCvim__xyxvoo9WoburDTzYylznTCOJBHcnu7eurMw/edit?gid=15948134#gid=15948134"", ""Input!A1:B2000""),2,FALSE()))"),"computed metrics")</f>
        <v>computed metrics</v>
      </c>
    </row>
    <row r="499" hidden="1">
      <c r="A499" s="1" t="s">
        <v>1618</v>
      </c>
      <c r="B499" s="1">
        <v>12.0</v>
      </c>
      <c r="C499" s="1" t="s">
        <v>1645</v>
      </c>
      <c r="D499" s="1" t="s">
        <v>1551</v>
      </c>
      <c r="E499" s="14" t="s">
        <v>1646</v>
      </c>
      <c r="F499" s="14" t="s">
        <v>1647</v>
      </c>
      <c r="G499" s="1" t="s">
        <v>39</v>
      </c>
      <c r="H499" s="15" t="s">
        <v>289</v>
      </c>
      <c r="J499" s="8" t="str">
        <f>IFERROR(__xludf.DUMMYFUNCTION("IF(ISBLANK(F499),""NA"", VLOOKUP(F499,IMPORTRANGE(""https://docs.google.com/spreadsheets/d/1EdCvim__xyxvoo9WoburDTzYylznTCOJBHcnu7eurMw/edit?gid=15948134#gid=15948134"", ""Purpose!A1:B1000""),2,FALSE()))"),"to understand statistical significance")</f>
        <v>to understand statistical significance</v>
      </c>
      <c r="K499" s="8" t="str">
        <f>IFERROR(__xludf.DUMMYFUNCTION("IF(ISBLANK(E499),""NA"", VLOOKUP(E499,IMPORTRANGE(""https://docs.google.com/spreadsheets/d/1EdCvim__xyxvoo9WoburDTzYylznTCOJBHcnu7eurMw/edit?gid=15948134#gid=15948134"", ""Technique!A1:B2000""),2,FALSE()))"),"statistical test (adaptation of Nemenyi post-hoc test)")</f>
        <v>statistical test (adaptation of Nemenyi post-hoc test)</v>
      </c>
      <c r="L499" s="8" t="str">
        <f>IFERROR(__xludf.DUMMYFUNCTION("IF(ISBLANK(D499),""NA"", VLOOKUP(D499,IMPORTRANGE(""https://docs.google.com/spreadsheets/d/1EdCvim__xyxvoo9WoburDTzYylznTCOJBHcnu7eurMw/edit?gid=15948134#gid=15948134"", ""Input!A1:B2000""),2,FALSE()))"),"computed metrics")</f>
        <v>computed metrics</v>
      </c>
    </row>
    <row r="500" hidden="1">
      <c r="A500" s="1" t="s">
        <v>1618</v>
      </c>
      <c r="B500" s="1">
        <v>20.0</v>
      </c>
      <c r="C500" s="1" t="s">
        <v>1648</v>
      </c>
      <c r="D500" s="1" t="s">
        <v>1649</v>
      </c>
      <c r="E500" s="14" t="s">
        <v>1650</v>
      </c>
      <c r="F500" s="14" t="s">
        <v>1651</v>
      </c>
      <c r="G500" s="1" t="s">
        <v>39</v>
      </c>
      <c r="H500" s="15" t="s">
        <v>289</v>
      </c>
      <c r="J500" s="8" t="str">
        <f>IFERROR(__xludf.DUMMYFUNCTION("IF(ISBLANK(F500),""NA"", VLOOKUP(F500,IMPORTRANGE(""https://docs.google.com/spreadsheets/d/1EdCvim__xyxvoo9WoburDTzYylznTCOJBHcnu7eurMw/edit?gid=15948134#gid=15948134"", ""Purpose!A1:B1000""),2,FALSE()))"),"to check statistical test prerequisites")</f>
        <v>to check statistical test prerequisites</v>
      </c>
      <c r="K500" s="8" t="str">
        <f>IFERROR(__xludf.DUMMYFUNCTION("IF(ISBLANK(E500),""NA"", VLOOKUP(E500,IMPORTRANGE(""https://docs.google.com/spreadsheets/d/1EdCvim__xyxvoo9WoburDTzYylznTCOJBHcnu7eurMw/edit?gid=15948134#gid=15948134"", ""Technique!A1:B2000""),2,FALSE()))"),"check statistical prerequisites of normality and homoscedascity, Shapiro-Wilk and Levene")</f>
        <v>check statistical prerequisites of normality and homoscedascity, Shapiro-Wilk and Levene</v>
      </c>
      <c r="L500" s="8" t="str">
        <f>IFERROR(__xludf.DUMMYFUNCTION("IF(ISBLANK(D500),""NA"", VLOOKUP(D500,IMPORTRANGE(""https://docs.google.com/spreadsheets/d/1EdCvim__xyxvoo9WoburDTzYylznTCOJBHcnu7eurMw/edit?gid=15948134#gid=15948134"", ""Input!A1:B2000""),2,FALSE()))"),"model(s)' output, test prioritization")</f>
        <v>model(s)' output, test prioritization</v>
      </c>
    </row>
    <row r="501" hidden="1">
      <c r="A501" s="1" t="s">
        <v>1618</v>
      </c>
      <c r="B501" s="1">
        <v>21.0</v>
      </c>
      <c r="C501" s="1" t="s">
        <v>1645</v>
      </c>
      <c r="D501" s="1" t="s">
        <v>1649</v>
      </c>
      <c r="E501" s="14" t="s">
        <v>1652</v>
      </c>
      <c r="F501" s="14" t="s">
        <v>1653</v>
      </c>
      <c r="G501" s="1" t="s">
        <v>39</v>
      </c>
      <c r="H501" s="15" t="s">
        <v>289</v>
      </c>
      <c r="J501" s="8" t="str">
        <f>IFERROR(__xludf.DUMMYFUNCTION("IF(ISBLANK(F501),""NA"", VLOOKUP(F501,IMPORTRANGE(""https://docs.google.com/spreadsheets/d/1EdCvim__xyxvoo9WoburDTzYylznTCOJBHcnu7eurMw/edit?gid=15948134#gid=15948134"", ""Purpose!A1:B1000""),2,FALSE()))"),"to understand statistical significance")</f>
        <v>to understand statistical significance</v>
      </c>
      <c r="K501" s="8" t="str">
        <f>IFERROR(__xludf.DUMMYFUNCTION("IF(ISBLANK(E501),""NA"", VLOOKUP(E501,IMPORTRANGE(""https://docs.google.com/spreadsheets/d/1EdCvim__xyxvoo9WoburDTzYylznTCOJBHcnu7eurMw/edit?gid=15948134#gid=15948134"", ""Technique!A1:B2000""),2,FALSE()))"),"statistical test (non parametric ANOVA with Friedman, Iman and Davemport, and Shaffers post hoc)")</f>
        <v>statistical test (non parametric ANOVA with Friedman, Iman and Davemport, and Shaffers post hoc)</v>
      </c>
      <c r="L501" s="8" t="str">
        <f>IFERROR(__xludf.DUMMYFUNCTION("IF(ISBLANK(D501),""NA"", VLOOKUP(D501,IMPORTRANGE(""https://docs.google.com/spreadsheets/d/1EdCvim__xyxvoo9WoburDTzYylznTCOJBHcnu7eurMw/edit?gid=15948134#gid=15948134"", ""Input!A1:B2000""),2,FALSE()))"),"model(s)' output, test prioritization")</f>
        <v>model(s)' output, test prioritization</v>
      </c>
    </row>
    <row r="502" hidden="1">
      <c r="A502" s="1" t="s">
        <v>1618</v>
      </c>
      <c r="B502" s="1">
        <v>19.0</v>
      </c>
      <c r="C502" s="1" t="s">
        <v>1645</v>
      </c>
      <c r="D502" s="1" t="s">
        <v>1654</v>
      </c>
      <c r="E502" s="14" t="s">
        <v>1655</v>
      </c>
      <c r="F502" s="14" t="s">
        <v>1656</v>
      </c>
      <c r="G502" s="1" t="s">
        <v>39</v>
      </c>
      <c r="H502" s="15" t="s">
        <v>289</v>
      </c>
      <c r="J502" s="8" t="str">
        <f>IFERROR(__xludf.DUMMYFUNCTION("IF(ISBLANK(F502),""NA"", VLOOKUP(F502,IMPORTRANGE(""https://docs.google.com/spreadsheets/d/1EdCvim__xyxvoo9WoburDTzYylznTCOJBHcnu7eurMw/edit?gid=15948134#gid=15948134"", ""Purpose!A1:B1000""),2,FALSE()))"),"to evaluate model(s) non-functional attributes (i.e., execution time)")</f>
        <v>to evaluate model(s) non-functional attributes (i.e., execution time)</v>
      </c>
      <c r="K502" s="8" t="str">
        <f>IFERROR(__xludf.DUMMYFUNCTION("IF(ISBLANK(E502),""NA"", VLOOKUP(E502,IMPORTRANGE(""https://docs.google.com/spreadsheets/d/1EdCvim__xyxvoo9WoburDTzYylznTCOJBHcnu7eurMw/edit?gid=15948134#gid=15948134"", ""Technique!A1:B2000""),2,FALSE()))"),"compute execution time")</f>
        <v>compute execution time</v>
      </c>
      <c r="L502" s="8" t="str">
        <f>IFERROR(__xludf.DUMMYFUNCTION("IF(ISBLANK(D502),""NA"", VLOOKUP(D502,IMPORTRANGE(""https://docs.google.com/spreadsheets/d/1EdCvim__xyxvoo9WoburDTzYylznTCOJBHcnu7eurMw/edit?gid=15948134#gid=15948134"", ""Input!A1:B2000""),2,FALSE()))"),"computed run time of the model(s)")</f>
        <v>computed run time of the model(s)</v>
      </c>
    </row>
    <row r="503" hidden="1">
      <c r="A503" s="1" t="s">
        <v>1618</v>
      </c>
      <c r="B503" s="1">
        <v>24.0</v>
      </c>
      <c r="C503" s="1" t="s">
        <v>1657</v>
      </c>
      <c r="E503" s="14" t="s">
        <v>1658</v>
      </c>
      <c r="F503" s="14" t="s">
        <v>1659</v>
      </c>
      <c r="G503" s="1" t="s">
        <v>39</v>
      </c>
      <c r="H503" s="15" t="s">
        <v>289</v>
      </c>
      <c r="J503" s="8" t="str">
        <f>IFERROR(__xludf.DUMMYFUNCTION("IF(ISBLANK(F503),""NA"", VLOOKUP(F503,IMPORTRANGE(""https://docs.google.com/spreadsheets/d/1EdCvim__xyxvoo9WoburDTzYylznTCOJBHcnu7eurMw/edit?gid=15948134#gid=15948134"", ""Purpose!A1:B1000""),2,FALSE()))"),"to understand the shifts between interrelated variables")</f>
        <v>to understand the shifts between interrelated variables</v>
      </c>
      <c r="K503" s="8" t="str">
        <f>IFERROR(__xludf.DUMMYFUNCTION("IF(ISBLANK(E503),""NA"", VLOOKUP(E503,IMPORTRANGE(""https://docs.google.com/spreadsheets/d/1EdCvim__xyxvoo9WoburDTzYylznTCOJBHcnu7eurMw/edit?gid=15948134#gid=15948134"", ""Technique!A1:B2000""),2,FALSE()))"),"use Hotellings multivariate control charts")</f>
        <v>use Hotellings multivariate control charts</v>
      </c>
      <c r="L503" s="8" t="str">
        <f>IFERROR(__xludf.DUMMYFUNCTION("IF(ISBLANK(D503),""NA"", VLOOKUP(D503,IMPORTRANGE(""https://docs.google.com/spreadsheets/d/1EdCvim__xyxvoo9WoburDTzYylznTCOJBHcnu7eurMw/edit?gid=15948134#gid=15948134"", ""Input!A1:B2000""),2,FALSE()))"),"NA")</f>
        <v>NA</v>
      </c>
    </row>
    <row r="504" hidden="1">
      <c r="A504" s="1" t="s">
        <v>1618</v>
      </c>
      <c r="B504" s="1">
        <v>14.0</v>
      </c>
      <c r="C504" s="1" t="s">
        <v>1657</v>
      </c>
      <c r="D504" s="1" t="s">
        <v>698</v>
      </c>
      <c r="E504" s="14" t="s">
        <v>1660</v>
      </c>
      <c r="F504" s="14" t="s">
        <v>1661</v>
      </c>
      <c r="G504" s="1" t="s">
        <v>14</v>
      </c>
      <c r="H504" s="15" t="s">
        <v>289</v>
      </c>
      <c r="J504" s="8" t="str">
        <f>IFERROR(__xludf.DUMMYFUNCTION("IF(ISBLANK(F504),""NA"", VLOOKUP(F504,IMPORTRANGE(""https://docs.google.com/spreadsheets/d/1EdCvim__xyxvoo9WoburDTzYylznTCOJBHcnu7eurMw/edit?gid=15948134#gid=15948134"", ""Purpose!A1:B1000""),2,FALSE()))"),"to remove features that are first-order correlated")</f>
        <v>to remove features that are first-order correlated</v>
      </c>
      <c r="K504" s="8" t="str">
        <f>IFERROR(__xludf.DUMMYFUNCTION("IF(ISBLANK(E504),""NA"", VLOOKUP(E504,IMPORTRANGE(""https://docs.google.com/spreadsheets/d/1EdCvim__xyxvoo9WoburDTzYylznTCOJBHcnu7eurMw/edit?gid=15948134#gid=15948134"", ""Technique!A1:B2000""),2,FALSE()))"),"feature extraction with PCA")</f>
        <v>feature extraction with PCA</v>
      </c>
      <c r="L504" s="8" t="str">
        <f>IFERROR(__xludf.DUMMYFUNCTION("IF(ISBLANK(D504),""NA"", VLOOKUP(D504,IMPORTRANGE(""https://docs.google.com/spreadsheets/d/1EdCvim__xyxvoo9WoburDTzYylznTCOJBHcnu7eurMw/edit?gid=15948134#gid=15948134"", ""Input!A1:B2000""),2,FALSE()))"),"data (training set)")</f>
        <v>data (training set)</v>
      </c>
    </row>
    <row r="505" hidden="1">
      <c r="A505" s="1" t="s">
        <v>1618</v>
      </c>
      <c r="B505" s="1">
        <v>15.0</v>
      </c>
      <c r="C505" s="1" t="s">
        <v>1662</v>
      </c>
      <c r="D505" s="1" t="s">
        <v>1205</v>
      </c>
      <c r="E505" s="14" t="s">
        <v>1663</v>
      </c>
      <c r="F505" s="14" t="s">
        <v>1664</v>
      </c>
      <c r="G505" s="1" t="s">
        <v>39</v>
      </c>
      <c r="H505" s="15" t="s">
        <v>289</v>
      </c>
      <c r="J505" s="8" t="str">
        <f>IFERROR(__xludf.DUMMYFUNCTION("IF(ISBLANK(F505),""NA"", VLOOKUP(F505,IMPORTRANGE(""https://docs.google.com/spreadsheets/d/1EdCvim__xyxvoo9WoburDTzYylznTCOJBHcnu7eurMw/edit?gid=15948134#gid=15948134"", ""Purpose!A1:B1000""),2,FALSE()))"),"to identify the need of retraining a model")</f>
        <v>to identify the need of retraining a model</v>
      </c>
      <c r="K505" s="8" t="str">
        <f>IFERROR(__xludf.DUMMYFUNCTION("IF(ISBLANK(E505),""NA"", VLOOKUP(E505,IMPORTRANGE(""https://docs.google.com/spreadsheets/d/1EdCvim__xyxvoo9WoburDTzYylznTCOJBHcnu7eurMw/edit?gid=15948134#gid=15948134"", ""Technique!A1:B2000""),2,FALSE()))"),"compute metric (i.e., transfer entropy between time-series)")</f>
        <v>compute metric (i.e., transfer entropy between time-series)</v>
      </c>
      <c r="L505" s="8" t="str">
        <f>IFERROR(__xludf.DUMMYFUNCTION("IF(ISBLANK(D505),""NA"", VLOOKUP(D505,IMPORTRANGE(""https://docs.google.com/spreadsheets/d/1EdCvim__xyxvoo9WoburDTzYylznTCOJBHcnu7eurMw/edit?gid=15948134#gid=15948134"", ""Input!A1:B2000""),2,FALSE()))"),"data (test set) + model(s)")</f>
        <v>data (test set) + model(s)</v>
      </c>
    </row>
    <row r="506" hidden="1">
      <c r="A506" s="1" t="s">
        <v>1618</v>
      </c>
      <c r="B506" s="1">
        <v>16.0</v>
      </c>
      <c r="C506" s="1" t="s">
        <v>1665</v>
      </c>
      <c r="D506" s="1" t="s">
        <v>698</v>
      </c>
      <c r="E506" s="14" t="s">
        <v>1666</v>
      </c>
      <c r="F506" s="14" t="s">
        <v>1667</v>
      </c>
      <c r="G506" s="1" t="s">
        <v>14</v>
      </c>
      <c r="H506" s="15" t="s">
        <v>289</v>
      </c>
      <c r="J506" s="8" t="str">
        <f>IFERROR(__xludf.DUMMYFUNCTION("IF(ISBLANK(F506),""NA"", VLOOKUP(F506,IMPORTRANGE(""https://docs.google.com/spreadsheets/d/1EdCvim__xyxvoo9WoburDTzYylznTCOJBHcnu7eurMw/edit?gid=15948134#gid=15948134"", ""Purpose!A1:B1000""),2,FALSE()))"),"to remove features that are correlated, keeping the original ones")</f>
        <v>to remove features that are correlated, keeping the original ones</v>
      </c>
      <c r="K506" s="8" t="str">
        <f>IFERROR(__xludf.DUMMYFUNCTION("IF(ISBLANK(E506),""NA"", VLOOKUP(E506,IMPORTRANGE(""https://docs.google.com/spreadsheets/d/1EdCvim__xyxvoo9WoburDTzYylznTCOJBHcnu7eurMw/edit?gid=15948134#gid=15948134"", ""Technique!A1:B2000""),2,FALSE()))"),"feature extraction with Principal Feature Analysis (PFA)")</f>
        <v>feature extraction with Principal Feature Analysis (PFA)</v>
      </c>
      <c r="L506" s="8" t="str">
        <f>IFERROR(__xludf.DUMMYFUNCTION("IF(ISBLANK(D506),""NA"", VLOOKUP(D506,IMPORTRANGE(""https://docs.google.com/spreadsheets/d/1EdCvim__xyxvoo9WoburDTzYylznTCOJBHcnu7eurMw/edit?gid=15948134#gid=15948134"", ""Input!A1:B2000""),2,FALSE()))"),"data (training set)")</f>
        <v>data (training set)</v>
      </c>
    </row>
    <row r="507" hidden="1">
      <c r="A507" s="1" t="s">
        <v>1618</v>
      </c>
      <c r="B507" s="1">
        <v>25.0</v>
      </c>
      <c r="C507" s="1" t="s">
        <v>1668</v>
      </c>
      <c r="D507" s="14" t="s">
        <v>872</v>
      </c>
      <c r="E507" s="14" t="s">
        <v>1669</v>
      </c>
      <c r="F507" s="14" t="s">
        <v>1670</v>
      </c>
      <c r="G507" s="1" t="s">
        <v>14</v>
      </c>
      <c r="H507" s="15" t="s">
        <v>289</v>
      </c>
      <c r="J507" s="8" t="str">
        <f>IFERROR(__xludf.DUMMYFUNCTION("IF(ISBLANK(F507),""NA"", VLOOKUP(F507,IMPORTRANGE(""https://docs.google.com/spreadsheets/d/1EdCvim__xyxvoo9WoburDTzYylznTCOJBHcnu7eurMw/edit?gid=15948134#gid=15948134"", ""Purpose!A1:B1000""),2,FALSE()))"),"to decrease computational costs and improve performance")</f>
        <v>to decrease computational costs and improve performance</v>
      </c>
      <c r="K507" s="8" t="str">
        <f>IFERROR(__xludf.DUMMYFUNCTION("IF(ISBLANK(E507),""NA"", VLOOKUP(E507,IMPORTRANGE(""https://docs.google.com/spreadsheets/d/1EdCvim__xyxvoo9WoburDTzYylznTCOJBHcnu7eurMw/edit?gid=15948134#gid=15948134"", ""Technique!A1:B2000""),2,FALSE()))"),"feature selection with Principal Feature Analysis")</f>
        <v>feature selection with Principal Feature Analysis</v>
      </c>
      <c r="L507" s="8" t="str">
        <f>IFERROR(__xludf.DUMMYFUNCTION("IF(ISBLANK(D507),""NA"", VLOOKUP(D507,IMPORTRANGE(""https://docs.google.com/spreadsheets/d/1EdCvim__xyxvoo9WoburDTzYylznTCOJBHcnu7eurMw/edit?gid=15948134#gid=15948134"", ""Input!A1:B2000""),2,FALSE()))"),"code data (faulty code)")</f>
        <v>code data (faulty code)</v>
      </c>
    </row>
    <row r="508" hidden="1">
      <c r="A508" s="1" t="s">
        <v>1671</v>
      </c>
      <c r="B508" s="1">
        <v>1.0</v>
      </c>
      <c r="C508" s="1" t="s">
        <v>1672</v>
      </c>
      <c r="D508" s="1" t="s">
        <v>1086</v>
      </c>
      <c r="E508" s="16" t="s">
        <v>1673</v>
      </c>
      <c r="F508" s="14" t="s">
        <v>1674</v>
      </c>
      <c r="G508" s="1" t="s">
        <v>20</v>
      </c>
      <c r="H508" s="15" t="s">
        <v>806</v>
      </c>
      <c r="J508" s="8" t="str">
        <f>IFERROR(__xludf.DUMMYFUNCTION("IF(ISBLANK(F508),""NA"", VLOOKUP(F508,IMPORTRANGE(""https://docs.google.com/spreadsheets/d/1EdCvim__xyxvoo9WoburDTzYylznTCOJBHcnu7eurMw/edit?gid=15948134#gid=15948134"", ""Purpose!A1:B1000""),2,FALSE()))"),"to resemble a real-world time-sensitive scenarios")</f>
        <v>to resemble a real-world time-sensitive scenarios</v>
      </c>
      <c r="K508" s="8" t="str">
        <f>IFERROR(__xludf.DUMMYFUNCTION("IF(ISBLANK(E508),""NA"", VLOOKUP(E508,IMPORTRANGE(""https://docs.google.com/spreadsheets/d/1EdCvim__xyxvoo9WoburDTzYylznTCOJBHcnu7eurMw/edit?gid=15948134#gid=15948134"", ""Technique!A1:B2000""),2,FALSE()))"),"consider time delay labeling in data")</f>
        <v>consider time delay labeling in data</v>
      </c>
      <c r="L508" s="8" t="str">
        <f>IFERROR(__xludf.DUMMYFUNCTION("IF(ISBLANK(D508),""NA"", VLOOKUP(D508,IMPORTRANGE(""https://docs.google.com/spreadsheets/d/1EdCvim__xyxvoo9WoburDTzYylznTCOJBHcnu7eurMw/edit?gid=15948134#gid=15948134"", ""Input!A1:B2000""),2,FALSE()))"),"data")</f>
        <v>data</v>
      </c>
    </row>
    <row r="509" hidden="1">
      <c r="A509" s="1" t="s">
        <v>1671</v>
      </c>
      <c r="B509" s="1" t="s">
        <v>1675</v>
      </c>
      <c r="C509" s="1" t="s">
        <v>1676</v>
      </c>
      <c r="D509" s="1" t="s">
        <v>1677</v>
      </c>
      <c r="E509" s="16" t="s">
        <v>1678</v>
      </c>
      <c r="F509" s="14" t="s">
        <v>1679</v>
      </c>
      <c r="G509" s="1" t="s">
        <v>54</v>
      </c>
      <c r="H509" s="15" t="s">
        <v>806</v>
      </c>
      <c r="J509" s="8" t="str">
        <f>IFERROR(__xludf.DUMMYFUNCTION("IF(ISBLANK(F509),""NA"", VLOOKUP(F509,IMPORTRANGE(""https://docs.google.com/spreadsheets/d/1EdCvim__xyxvoo9WoburDTzYylznTCOJBHcnu7eurMw/edit?gid=15948134#gid=15948134"", ""Purpose!A1:B1000""),2,FALSE()))"),"to balance the data according to the type of data and training (i.e., offline/online)")</f>
        <v>to balance the data according to the type of data and training (i.e., offline/online)</v>
      </c>
      <c r="K509" s="8" t="str">
        <f>IFERROR(__xludf.DUMMYFUNCTION("IF(ISBLANK(E509),""NA"", VLOOKUP(E509,IMPORTRANGE(""https://docs.google.com/spreadsheets/d/1EdCvim__xyxvoo9WoburDTzYylznTCOJBHcnu7eurMw/edit?gid=15948134#gid=15948134"", ""Technique!A1:B2000""),2,FALSE()))"),"balance data, custom online function based on frequencies and boosting factors")</f>
        <v>balance data, custom online function based on frequencies and boosting factors</v>
      </c>
      <c r="L509" s="8" t="str">
        <f>IFERROR(__xludf.DUMMYFUNCTION("IF(ISBLANK(D509),""NA"", VLOOKUP(D509,IMPORTRANGE(""https://docs.google.com/spreadsheets/d/1EdCvim__xyxvoo9WoburDTzYylznTCOJBHcnu7eurMw/edit?gid=15948134#gid=15948134"", ""Input!A1:B2000""),2,FALSE()))"),"data")</f>
        <v>data</v>
      </c>
    </row>
    <row r="510" hidden="1">
      <c r="A510" s="1" t="s">
        <v>1671</v>
      </c>
      <c r="B510" s="1" t="s">
        <v>1680</v>
      </c>
      <c r="C510" s="1" t="s">
        <v>1681</v>
      </c>
      <c r="D510" s="1" t="s">
        <v>1677</v>
      </c>
      <c r="E510" s="14" t="s">
        <v>1682</v>
      </c>
      <c r="F510" s="14" t="s">
        <v>1683</v>
      </c>
      <c r="G510" s="1" t="s">
        <v>39</v>
      </c>
      <c r="H510" s="15" t="s">
        <v>806</v>
      </c>
      <c r="J510" s="8" t="str">
        <f>IFERROR(__xludf.DUMMYFUNCTION("IF(ISBLANK(F510),""NA"", VLOOKUP(F510,IMPORTRANGE(""https://docs.google.com/spreadsheets/d/1EdCvim__xyxvoo9WoburDTzYylznTCOJBHcnu7eurMw/edit?gid=15948134#gid=15948134"", ""Purpose!A1:B1000""),2,FALSE()))"),"to evaluate model(s) functionally (e.g., accuracy) against others")</f>
        <v>to evaluate model(s) functionally (e.g., accuracy) against others</v>
      </c>
      <c r="K510" s="8" t="str">
        <f>IFERROR(__xludf.DUMMYFUNCTION("IF(ISBLANK(E510),""NA"", VLOOKUP(E510,IMPORTRANGE(""https://docs.google.com/spreadsheets/d/1EdCvim__xyxvoo9WoburDTzYylznTCOJBHcnu7eurMw/edit?gid=15948134#gid=15948134"", ""Technique!A1:B2000""),2,FALSE()))"),"compare with baseline model(s), state-of-the-art baselines shallow learning (Undersampling Online Bagging, Oversampling Online Bagging)")</f>
        <v>compare with baseline model(s), state-of-the-art baselines shallow learning (Undersampling Online Bagging, Oversampling Online Bagging)</v>
      </c>
      <c r="L510" s="8" t="str">
        <f>IFERROR(__xludf.DUMMYFUNCTION("IF(ISBLANK(D510),""NA"", VLOOKUP(D510,IMPORTRANGE(""https://docs.google.com/spreadsheets/d/1EdCvim__xyxvoo9WoburDTzYylznTCOJBHcnu7eurMw/edit?gid=15948134#gid=15948134"", ""Input!A1:B2000""),2,FALSE()))"),"data")</f>
        <v>data</v>
      </c>
    </row>
    <row r="511" hidden="1">
      <c r="A511" s="1" t="s">
        <v>1671</v>
      </c>
      <c r="B511" s="1" t="s">
        <v>999</v>
      </c>
      <c r="C511" s="1" t="s">
        <v>1681</v>
      </c>
      <c r="D511" s="1" t="s">
        <v>1205</v>
      </c>
      <c r="E511" s="14" t="s">
        <v>1684</v>
      </c>
      <c r="F511" s="14" t="s">
        <v>716</v>
      </c>
      <c r="G511" s="1" t="s">
        <v>39</v>
      </c>
      <c r="H511" s="15" t="s">
        <v>806</v>
      </c>
      <c r="J511" s="8" t="str">
        <f>IFERROR(__xludf.DUMMYFUNCTION("IF(ISBLANK(F511),""NA"", VLOOKUP(F511,IMPORTRANGE(""https://docs.google.com/spreadsheets/d/1EdCvim__xyxvoo9WoburDTzYylznTCOJBHcnu7eurMw/edit?gid=15948134#gid=15948134"", ""Purpose!A1:B1000""),2,FALSE()))"),"to evaluate model(s) functionally (e.g., accuracy)")</f>
        <v>to evaluate model(s) functionally (e.g., accuracy)</v>
      </c>
      <c r="K511" s="8" t="str">
        <f>IFERROR(__xludf.DUMMYFUNCTION("IF(ISBLANK(E511),""NA"", VLOOKUP(E511,IMPORTRANGE(""https://docs.google.com/spreadsheets/d/1EdCvim__xyxvoo9WoburDTzYylznTCOJBHcnu7eurMw/edit?gid=15948134#gid=15948134"", ""Technique!A1:B2000""),2,FALSE()))"),"compute metrics (i.e., G-mean, recall)")</f>
        <v>compute metrics (i.e., G-mean, recall)</v>
      </c>
      <c r="L511" s="8" t="str">
        <f>IFERROR(__xludf.DUMMYFUNCTION("IF(ISBLANK(D511),""NA"", VLOOKUP(D511,IMPORTRANGE(""https://docs.google.com/spreadsheets/d/1EdCvim__xyxvoo9WoburDTzYylznTCOJBHcnu7eurMw/edit?gid=15948134#gid=15948134"", ""Input!A1:B2000""),2,FALSE()))"),"data (test set) + model(s)")</f>
        <v>data (test set) + model(s)</v>
      </c>
    </row>
    <row r="512" hidden="1">
      <c r="A512" s="1" t="s">
        <v>1671</v>
      </c>
      <c r="B512" s="1" t="s">
        <v>1441</v>
      </c>
      <c r="C512" s="1" t="s">
        <v>1685</v>
      </c>
      <c r="D512" s="1" t="s">
        <v>698</v>
      </c>
      <c r="E512" s="16" t="s">
        <v>1222</v>
      </c>
      <c r="F512" s="14" t="s">
        <v>1686</v>
      </c>
      <c r="G512" s="1" t="s">
        <v>54</v>
      </c>
      <c r="H512" s="15" t="s">
        <v>806</v>
      </c>
      <c r="J512" s="8" t="str">
        <f>IFERROR(__xludf.DUMMYFUNCTION("IF(ISBLANK(F512),""NA"", VLOOKUP(F512,IMPORTRANGE(""https://docs.google.com/spreadsheets/d/1EdCvim__xyxvoo9WoburDTzYylznTCOJBHcnu7eurMw/edit?gid=15948134#gid=15948134"", ""Purpose!A1:B1000""),2,FALSE()))"),"to find the best hyperparameters in general")</f>
        <v>to find the best hyperparameters in general</v>
      </c>
      <c r="K512" s="8" t="str">
        <f>IFERROR(__xludf.DUMMYFUNCTION("IF(ISBLANK(E512),""NA"", VLOOKUP(E512,IMPORTRANGE(""https://docs.google.com/spreadsheets/d/1EdCvim__xyxvoo9WoburDTzYylznTCOJBHcnu7eurMw/edit?gid=15948134#gid=15948134"", ""Technique!A1:B2000""),2,FALSE()))"),"grid search")</f>
        <v>grid search</v>
      </c>
      <c r="L512" s="8" t="str">
        <f>IFERROR(__xludf.DUMMYFUNCTION("IF(ISBLANK(D512),""NA"", VLOOKUP(D512,IMPORTRANGE(""https://docs.google.com/spreadsheets/d/1EdCvim__xyxvoo9WoburDTzYylznTCOJBHcnu7eurMw/edit?gid=15948134#gid=15948134"", ""Input!A1:B2000""),2,FALSE()))"),"data (training set)")</f>
        <v>data (training set)</v>
      </c>
    </row>
    <row r="513" hidden="1">
      <c r="A513" s="1" t="s">
        <v>1671</v>
      </c>
      <c r="B513" s="1" t="s">
        <v>1687</v>
      </c>
      <c r="C513" s="1" t="s">
        <v>1685</v>
      </c>
      <c r="D513" s="1" t="s">
        <v>1551</v>
      </c>
      <c r="E513" s="14" t="s">
        <v>1688</v>
      </c>
      <c r="F513" s="14" t="s">
        <v>1689</v>
      </c>
      <c r="G513" s="1" t="s">
        <v>39</v>
      </c>
      <c r="H513" s="15" t="s">
        <v>806</v>
      </c>
      <c r="J513" s="8" t="str">
        <f>IFERROR(__xludf.DUMMYFUNCTION("IF(ISBLANK(F513),""NA"", VLOOKUP(F513,IMPORTRANGE(""https://docs.google.com/spreadsheets/d/1EdCvim__xyxvoo9WoburDTzYylznTCOJBHcnu7eurMw/edit?gid=15948134#gid=15948134"", ""Purpose!A1:B1000""),2,FALSE()))"),"to understand statistical significance")</f>
        <v>to understand statistical significance</v>
      </c>
      <c r="K513" s="8" t="str">
        <f>IFERROR(__xludf.DUMMYFUNCTION("IF(ISBLANK(E513),""NA"", VLOOKUP(E513,IMPORTRANGE(""https://docs.google.com/spreadsheets/d/1EdCvim__xyxvoo9WoburDTzYylznTCOJBHcnu7eurMw/edit?gid=15948134#gid=15948134"", ""Technique!A1:B2000""),2,FALSE()))"),"statistical test (Scott Knott test)")</f>
        <v>statistical test (Scott Knott test)</v>
      </c>
      <c r="L513" s="8" t="str">
        <f>IFERROR(__xludf.DUMMYFUNCTION("IF(ISBLANK(D513),""NA"", VLOOKUP(D513,IMPORTRANGE(""https://docs.google.com/spreadsheets/d/1EdCvim__xyxvoo9WoburDTzYylznTCOJBHcnu7eurMw/edit?gid=15948134#gid=15948134"", ""Input!A1:B2000""),2,FALSE()))"),"computed metrics")</f>
        <v>computed metrics</v>
      </c>
    </row>
    <row r="514" hidden="1">
      <c r="A514" s="1" t="s">
        <v>1671</v>
      </c>
      <c r="B514" s="1">
        <v>8.0</v>
      </c>
      <c r="C514" s="1" t="s">
        <v>1685</v>
      </c>
      <c r="D514" s="1" t="s">
        <v>698</v>
      </c>
      <c r="E514" s="16" t="s">
        <v>1690</v>
      </c>
      <c r="F514" s="14" t="s">
        <v>1691</v>
      </c>
      <c r="G514" s="1" t="s">
        <v>54</v>
      </c>
      <c r="H514" s="15" t="s">
        <v>806</v>
      </c>
      <c r="J514" s="8" t="str">
        <f>IFERROR(__xludf.DUMMYFUNCTION("IF(ISBLANK(F514),""NA"", VLOOKUP(F514,IMPORTRANGE(""https://docs.google.com/spreadsheets/d/1EdCvim__xyxvoo9WoburDTzYylznTCOJBHcnu7eurMw/edit?gid=15948134#gid=15948134"", ""Purpose!A1:B1000""),2,FALSE()))"),"to train an updateable model for online learning (i.e., just-in-time defect prediction)")</f>
        <v>to train an updateable model for online learning (i.e., just-in-time defect prediction)</v>
      </c>
      <c r="K514" s="8" t="str">
        <f>IFERROR(__xludf.DUMMYFUNCTION("IF(ISBLANK(E514),""NA"", VLOOKUP(E514,IMPORTRANGE(""https://docs.google.com/spreadsheets/d/1EdCvim__xyxvoo9WoburDTzYylznTCOJBHcnu7eurMw/edit?gid=15948134#gid=15948134"", ""Technique!A1:B2000""),2,FALSE()))"),"use Hoeffding tree (online classification)")</f>
        <v>use Hoeffding tree (online classification)</v>
      </c>
      <c r="L514" s="8" t="str">
        <f>IFERROR(__xludf.DUMMYFUNCTION("IF(ISBLANK(D514),""NA"", VLOOKUP(D514,IMPORTRANGE(""https://docs.google.com/spreadsheets/d/1EdCvim__xyxvoo9WoburDTzYylznTCOJBHcnu7eurMw/edit?gid=15948134#gid=15948134"", ""Input!A1:B2000""),2,FALSE()))"),"data (training set)")</f>
        <v>data (training set)</v>
      </c>
    </row>
    <row r="515" hidden="1">
      <c r="A515" s="1" t="s">
        <v>1671</v>
      </c>
      <c r="B515" s="1">
        <v>9.0</v>
      </c>
      <c r="C515" s="1" t="s">
        <v>1685</v>
      </c>
      <c r="E515" s="14" t="s">
        <v>1692</v>
      </c>
      <c r="F515" s="14" t="s">
        <v>1693</v>
      </c>
      <c r="G515" s="1" t="s">
        <v>39</v>
      </c>
      <c r="H515" s="15" t="s">
        <v>806</v>
      </c>
      <c r="J515" s="8" t="str">
        <f>IFERROR(__xludf.DUMMYFUNCTION("IF(ISBLANK(F515),""NA"", VLOOKUP(F515,IMPORTRANGE(""https://docs.google.com/spreadsheets/d/1EdCvim__xyxvoo9WoburDTzYylznTCOJBHcnu7eurMw/edit?gid=15948134#gid=15948134"", ""Purpose!A1:B1000""),2,FALSE()))"),"to account randomeness of nondeterministic process")</f>
        <v>to account randomeness of nondeterministic process</v>
      </c>
      <c r="K515" s="8" t="str">
        <f>IFERROR(__xludf.DUMMYFUNCTION("IF(ISBLANK(E515),""NA"", VLOOKUP(E515,IMPORTRANGE(""https://docs.google.com/spreadsheets/d/1EdCvim__xyxvoo9WoburDTzYylznTCOJBHcnu7eurMw/edit?gid=15948134#gid=15948134"", ""Technique!A1:B2000""),2,FALSE()))"),"multiple runs/experiments")</f>
        <v>multiple runs/experiments</v>
      </c>
      <c r="L515" s="8" t="str">
        <f>IFERROR(__xludf.DUMMYFUNCTION("IF(ISBLANK(D515),""NA"", VLOOKUP(D515,IMPORTRANGE(""https://docs.google.com/spreadsheets/d/1EdCvim__xyxvoo9WoburDTzYylznTCOJBHcnu7eurMw/edit?gid=15948134#gid=15948134"", ""Input!A1:B2000""),2,FALSE()))"),"NA")</f>
        <v>NA</v>
      </c>
    </row>
    <row r="516" hidden="1">
      <c r="A516" s="1" t="s">
        <v>1671</v>
      </c>
      <c r="B516" s="1">
        <v>12.0</v>
      </c>
      <c r="C516" s="1" t="s">
        <v>1694</v>
      </c>
      <c r="E516" s="16" t="s">
        <v>584</v>
      </c>
      <c r="F516" s="14" t="s">
        <v>585</v>
      </c>
      <c r="G516" s="1" t="s">
        <v>54</v>
      </c>
      <c r="H516" s="15" t="s">
        <v>806</v>
      </c>
      <c r="J516" s="8" t="str">
        <f>IFERROR(__xludf.DUMMYFUNCTION("IF(ISBLANK(F516),""NA"", VLOOKUP(F516,IMPORTRANGE(""https://docs.google.com/spreadsheets/d/1EdCvim__xyxvoo9WoburDTzYylznTCOJBHcnu7eurMw/edit?gid=15948134#gid=15948134"", ""Purpose!A1:B1000""),2,FALSE()))"),"to be able to replicate/reproduce a study, research")</f>
        <v>to be able to replicate/reproduce a study, research</v>
      </c>
      <c r="K516" s="8" t="str">
        <f>IFERROR(__xludf.DUMMYFUNCTION("IF(ISBLANK(E516),""NA"", VLOOKUP(E516,IMPORTRANGE(""https://docs.google.com/spreadsheets/d/1EdCvim__xyxvoo9WoburDTzYylznTCOJBHcnu7eurMw/edit?gid=15948134#gid=15948134"", ""Technique!A1:B2000""),2,FALSE()))"),"collect own data from open-source projects")</f>
        <v>collect own data from open-source projects</v>
      </c>
      <c r="L516" s="8" t="str">
        <f>IFERROR(__xludf.DUMMYFUNCTION("IF(ISBLANK(D516),""NA"", VLOOKUP(D516,IMPORTRANGE(""https://docs.google.com/spreadsheets/d/1EdCvim__xyxvoo9WoburDTzYylznTCOJBHcnu7eurMw/edit?gid=15948134#gid=15948134"", ""Input!A1:B2000""),2,FALSE()))"),"NA")</f>
        <v>NA</v>
      </c>
    </row>
    <row r="517" hidden="1">
      <c r="A517" s="1" t="s">
        <v>1671</v>
      </c>
      <c r="B517" s="1">
        <v>16.0</v>
      </c>
      <c r="C517" s="1" t="s">
        <v>1681</v>
      </c>
      <c r="E517" s="14" t="s">
        <v>1695</v>
      </c>
      <c r="F517" s="14" t="s">
        <v>1696</v>
      </c>
      <c r="G517" s="1" t="s">
        <v>39</v>
      </c>
      <c r="H517" s="15" t="s">
        <v>806</v>
      </c>
      <c r="J517" s="8" t="str">
        <f>IFERROR(__xludf.DUMMYFUNCTION("IF(ISBLANK(F517),""NA"", VLOOKUP(F517,IMPORTRANGE(""https://docs.google.com/spreadsheets/d/1EdCvim__xyxvoo9WoburDTzYylznTCOJBHcnu7eurMw/edit?gid=15948134#gid=15948134"", ""Purpose!A1:B1000""),2,FALSE()))"),"to evaluate model(s) functionally (e.g., accuracy), when evaluating offline binary problems")</f>
        <v>to evaluate model(s) functionally (e.g., accuracy), when evaluating offline binary problems</v>
      </c>
      <c r="K517" s="8" t="str">
        <f>IFERROR(__xludf.DUMMYFUNCTION("IF(ISBLANK(E517),""NA"", VLOOKUP(E517,IMPORTRANGE(""https://docs.google.com/spreadsheets/d/1EdCvim__xyxvoo9WoburDTzYylznTCOJBHcnu7eurMw/edit?gid=15948134#gid=15948134"", ""Technique!A1:B2000""),2,FALSE()))"),"compute classical metrics (i.e., AUC)")</f>
        <v>compute classical metrics (i.e., AUC)</v>
      </c>
      <c r="L517" s="8" t="str">
        <f>IFERROR(__xludf.DUMMYFUNCTION("IF(ISBLANK(D517),""NA"", VLOOKUP(D517,IMPORTRANGE(""https://docs.google.com/spreadsheets/d/1EdCvim__xyxvoo9WoburDTzYylznTCOJBHcnu7eurMw/edit?gid=15948134#gid=15948134"", ""Input!A1:B2000""),2,FALSE()))"),"NA")</f>
        <v>NA</v>
      </c>
    </row>
    <row r="518" hidden="1">
      <c r="A518" s="1" t="s">
        <v>1671</v>
      </c>
      <c r="B518" s="1">
        <v>16.0</v>
      </c>
      <c r="C518" s="1" t="s">
        <v>1681</v>
      </c>
      <c r="E518" s="14" t="s">
        <v>1695</v>
      </c>
      <c r="F518" s="14" t="s">
        <v>1697</v>
      </c>
      <c r="G518" s="1" t="s">
        <v>39</v>
      </c>
      <c r="H518" s="15" t="s">
        <v>806</v>
      </c>
      <c r="J518" s="8" t="str">
        <f>IFERROR(__xludf.DUMMYFUNCTION("IF(ISBLANK(F518),""NA"", VLOOKUP(F518,IMPORTRANGE(""https://docs.google.com/spreadsheets/d/1EdCvim__xyxvoo9WoburDTzYylznTCOJBHcnu7eurMw/edit?gid=15948134#gid=15948134"", ""Purpose!A1:B1000""),2,FALSE()))"),"to evaluate model(s) when working with online models")</f>
        <v>to evaluate model(s) when working with online models</v>
      </c>
      <c r="K518" s="8" t="str">
        <f>IFERROR(__xludf.DUMMYFUNCTION("IF(ISBLANK(E518),""NA"", VLOOKUP(E518,IMPORTRANGE(""https://docs.google.com/spreadsheets/d/1EdCvim__xyxvoo9WoburDTzYylznTCOJBHcnu7eurMw/edit?gid=15948134#gid=15948134"", ""Technique!A1:B2000""),2,FALSE()))"),"compute classical metrics (i.e., AUC)")</f>
        <v>compute classical metrics (i.e., AUC)</v>
      </c>
      <c r="L518" s="8" t="str">
        <f>IFERROR(__xludf.DUMMYFUNCTION("IF(ISBLANK(D518),""NA"", VLOOKUP(D518,IMPORTRANGE(""https://docs.google.com/spreadsheets/d/1EdCvim__xyxvoo9WoburDTzYylznTCOJBHcnu7eurMw/edit?gid=15948134#gid=15948134"", ""Input!A1:B2000""),2,FALSE()))"),"NA")</f>
        <v>NA</v>
      </c>
    </row>
    <row r="519" hidden="1">
      <c r="A519" s="1" t="s">
        <v>1671</v>
      </c>
      <c r="B519" s="1">
        <v>19.0</v>
      </c>
      <c r="C519" s="1" t="s">
        <v>1685</v>
      </c>
      <c r="E519" s="14" t="s">
        <v>1698</v>
      </c>
      <c r="F519" s="14" t="s">
        <v>1699</v>
      </c>
      <c r="G519" s="1" t="s">
        <v>39</v>
      </c>
      <c r="H519" s="15" t="s">
        <v>806</v>
      </c>
      <c r="J519" s="8" t="str">
        <f>IFERROR(__xludf.DUMMYFUNCTION("IF(ISBLANK(F519),""NA"", VLOOKUP(F519,IMPORTRANGE(""https://docs.google.com/spreadsheets/d/1EdCvim__xyxvoo9WoburDTzYylznTCOJBHcnu7eurMw/edit?gid=15948134#gid=15948134"", ""Purpose!A1:B1000""),2,FALSE()))"),"to understand the magnitud of the differences")</f>
        <v>to understand the magnitud of the differences</v>
      </c>
      <c r="K519" s="8" t="str">
        <f>IFERROR(__xludf.DUMMYFUNCTION("IF(ISBLANK(E519),""NA"", VLOOKUP(E519,IMPORTRANGE(""https://docs.google.com/spreadsheets/d/1EdCvim__xyxvoo9WoburDTzYylznTCOJBHcnu7eurMw/edit?gid=15948134#gid=15948134"", ""Technique!A1:B2000""),2,FALSE()))"),"use effect sizes, Vargha and Delaney's non-parametric A12 ")</f>
        <v>use effect sizes, Vargha and Delaney's non-parametric A12 </v>
      </c>
      <c r="L519" s="8" t="str">
        <f>IFERROR(__xludf.DUMMYFUNCTION("IF(ISBLANK(D519),""NA"", VLOOKUP(D519,IMPORTRANGE(""https://docs.google.com/spreadsheets/d/1EdCvim__xyxvoo9WoburDTzYylznTCOJBHcnu7eurMw/edit?gid=15948134#gid=15948134"", ""Input!A1:B2000""),2,FALSE()))"),"NA")</f>
        <v>NA</v>
      </c>
    </row>
    <row r="520" hidden="1">
      <c r="A520" s="1" t="s">
        <v>1671</v>
      </c>
      <c r="B520" s="1">
        <v>15.0</v>
      </c>
      <c r="C520" s="1" t="s">
        <v>1681</v>
      </c>
      <c r="E520" s="14" t="s">
        <v>1700</v>
      </c>
      <c r="F520" s="14" t="s">
        <v>1701</v>
      </c>
      <c r="G520" s="1" t="s">
        <v>39</v>
      </c>
      <c r="H520" s="15" t="s">
        <v>806</v>
      </c>
      <c r="J520" s="8" t="str">
        <f>IFERROR(__xludf.DUMMYFUNCTION("IF(ISBLANK(F520),""NA"", VLOOKUP(F520,IMPORTRANGE(""https://docs.google.com/spreadsheets/d/1EdCvim__xyxvoo9WoburDTzYylznTCOJBHcnu7eurMw/edit?gid=15948134#gid=15948134"", ""Purpose!A1:B1000""),2,FALSE()))"),"to handle concept drift")</f>
        <v>to handle concept drift</v>
      </c>
      <c r="K520" s="8" t="str">
        <f>IFERROR(__xludf.DUMMYFUNCTION("IF(ISBLANK(E520),""NA"", VLOOKUP(E520,IMPORTRANGE(""https://docs.google.com/spreadsheets/d/1EdCvim__xyxvoo9WoburDTzYylznTCOJBHcnu7eurMw/edit?gid=15948134#gid=15948134"", ""Technique!A1:B2000""),2,FALSE()))"),"compute metrics in a prequential way")</f>
        <v>compute metrics in a prequential way</v>
      </c>
      <c r="L520" s="8" t="str">
        <f>IFERROR(__xludf.DUMMYFUNCTION("IF(ISBLANK(D520),""NA"", VLOOKUP(D520,IMPORTRANGE(""https://docs.google.com/spreadsheets/d/1EdCvim__xyxvoo9WoburDTzYylznTCOJBHcnu7eurMw/edit?gid=15948134#gid=15948134"", ""Input!A1:B2000""),2,FALSE()))"),"NA")</f>
        <v>NA</v>
      </c>
    </row>
    <row r="521" hidden="1">
      <c r="A521" s="1" t="s">
        <v>1671</v>
      </c>
      <c r="B521" s="1">
        <v>20.0</v>
      </c>
      <c r="C521" s="1" t="s">
        <v>1685</v>
      </c>
      <c r="E521" s="14" t="s">
        <v>923</v>
      </c>
      <c r="F521" s="14" t="s">
        <v>585</v>
      </c>
      <c r="G521" s="1" t="s">
        <v>924</v>
      </c>
      <c r="H521" s="15" t="s">
        <v>806</v>
      </c>
      <c r="J521" s="8" t="str">
        <f>IFERROR(__xludf.DUMMYFUNCTION("IF(ISBLANK(F521),""NA"", VLOOKUP(F521,IMPORTRANGE(""https://docs.google.com/spreadsheets/d/1EdCvim__xyxvoo9WoburDTzYylznTCOJBHcnu7eurMw/edit?gid=15948134#gid=15948134"", ""Purpose!A1:B1000""),2,FALSE()))"),"to be able to replicate/reproduce a study, research")</f>
        <v>to be able to replicate/reproduce a study, research</v>
      </c>
      <c r="K521" s="8" t="str">
        <f>IFERROR(__xludf.DUMMYFUNCTION("IF(ISBLANK(E521),""NA"", VLOOKUP(E521,IMPORTRANGE(""https://docs.google.com/spreadsheets/d/1EdCvim__xyxvoo9WoburDTzYylznTCOJBHcnu7eurMw/edit?gid=15948134#gid=15948134"", ""Technique!A1:B2000""),2,FALSE()))"),"publish replication package")</f>
        <v>publish replication package</v>
      </c>
      <c r="L521" s="8" t="str">
        <f>IFERROR(__xludf.DUMMYFUNCTION("IF(ISBLANK(D521),""NA"", VLOOKUP(D521,IMPORTRANGE(""https://docs.google.com/spreadsheets/d/1EdCvim__xyxvoo9WoburDTzYylznTCOJBHcnu7eurMw/edit?gid=15948134#gid=15948134"", ""Input!A1:B2000""),2,FALSE()))"),"NA")</f>
        <v>NA</v>
      </c>
    </row>
    <row r="522" hidden="1">
      <c r="A522" s="1" t="s">
        <v>1671</v>
      </c>
      <c r="B522" s="1">
        <v>21.0</v>
      </c>
      <c r="C522" s="1" t="s">
        <v>1702</v>
      </c>
      <c r="E522" s="14" t="s">
        <v>1703</v>
      </c>
      <c r="F522" s="14" t="s">
        <v>1704</v>
      </c>
      <c r="G522" s="1" t="s">
        <v>20</v>
      </c>
      <c r="H522" s="15" t="s">
        <v>806</v>
      </c>
      <c r="J522" s="8" t="str">
        <f>IFERROR(__xludf.DUMMYFUNCTION("IF(ISBLANK(F522),""NA"", VLOOKUP(F522,IMPORTRANGE(""https://docs.google.com/spreadsheets/d/1EdCvim__xyxvoo9WoburDTzYylznTCOJBHcnu7eurMw/edit?gid=15948134#gid=15948134"", ""Purpose!A1:B1000""),2,FALSE()))"),"to clean data")</f>
        <v>to clean data</v>
      </c>
      <c r="K522" s="8" t="str">
        <f>IFERROR(__xludf.DUMMYFUNCTION("IF(ISBLANK(E522),""NA"", VLOOKUP(E522,IMPORTRANGE(""https://docs.google.com/spreadsheets/d/1EdCvim__xyxvoo9WoburDTzYylznTCOJBHcnu7eurMw/edit?gid=15948134#gid=15948134"", ""Technique!A1:B2000""),2,FALSE()))"),"plot data distribution (i.e., boxplots)")</f>
        <v>plot data distribution (i.e., boxplots)</v>
      </c>
      <c r="L522" s="8" t="str">
        <f>IFERROR(__xludf.DUMMYFUNCTION("IF(ISBLANK(D522),""NA"", VLOOKUP(D522,IMPORTRANGE(""https://docs.google.com/spreadsheets/d/1EdCvim__xyxvoo9WoburDTzYylznTCOJBHcnu7eurMw/edit?gid=15948134#gid=15948134"", ""Input!A1:B2000""),2,FALSE()))"),"NA")</f>
        <v>NA</v>
      </c>
    </row>
    <row r="523" hidden="1">
      <c r="A523" s="1" t="s">
        <v>1671</v>
      </c>
      <c r="B523" s="1">
        <v>22.0</v>
      </c>
      <c r="C523" s="1" t="s">
        <v>1705</v>
      </c>
      <c r="E523" s="16" t="s">
        <v>1706</v>
      </c>
      <c r="F523" s="14" t="s">
        <v>1707</v>
      </c>
      <c r="G523" s="1" t="s">
        <v>20</v>
      </c>
      <c r="H523" s="15" t="s">
        <v>806</v>
      </c>
      <c r="J523" s="8" t="str">
        <f>IFERROR(__xludf.DUMMYFUNCTION("IF(ISBLANK(F523),""NA"", VLOOKUP(F523,IMPORTRANGE(""https://docs.google.com/spreadsheets/d/1EdCvim__xyxvoo9WoburDTzYylznTCOJBHcnu7eurMw/edit?gid=15948134#gid=15948134"", ""Purpose!A1:B1000""),2,FALSE()))"),"to visualize data (i.e., imbalance data vs time)")</f>
        <v>to visualize data (i.e., imbalance data vs time)</v>
      </c>
      <c r="K523" s="8" t="str">
        <f>IFERROR(__xludf.DUMMYFUNCTION("IF(ISBLANK(E523),""NA"", VLOOKUP(E523,IMPORTRANGE(""https://docs.google.com/spreadsheets/d/1EdCvim__xyxvoo9WoburDTzYylznTCOJBHcnu7eurMw/edit?gid=15948134#gid=15948134"", ""Technique!A1:B2000""),2,FALSE()))"),"plot data imbalance (i.e., time series: imbalance across time)")</f>
        <v>plot data imbalance (i.e., time series: imbalance across time)</v>
      </c>
      <c r="L523" s="8" t="str">
        <f>IFERROR(__xludf.DUMMYFUNCTION("IF(ISBLANK(D523),""NA"", VLOOKUP(D523,IMPORTRANGE(""https://docs.google.com/spreadsheets/d/1EdCvim__xyxvoo9WoburDTzYylznTCOJBHcnu7eurMw/edit?gid=15948134#gid=15948134"", ""Input!A1:B2000""),2,FALSE()))"),"NA")</f>
        <v>NA</v>
      </c>
    </row>
    <row r="524" hidden="1">
      <c r="A524" s="1" t="s">
        <v>1671</v>
      </c>
      <c r="B524" s="1">
        <v>23.0</v>
      </c>
      <c r="C524" s="1" t="s">
        <v>1708</v>
      </c>
      <c r="D524" s="1" t="s">
        <v>1709</v>
      </c>
      <c r="E524" s="14" t="s">
        <v>1710</v>
      </c>
      <c r="F524" s="14" t="s">
        <v>1711</v>
      </c>
      <c r="G524" s="1" t="s">
        <v>39</v>
      </c>
      <c r="H524" s="15" t="s">
        <v>806</v>
      </c>
      <c r="J524" s="8" t="str">
        <f>IFERROR(__xludf.DUMMYFUNCTION("IF(ISBLANK(F524),""NA"", VLOOKUP(F524,IMPORTRANGE(""https://docs.google.com/spreadsheets/d/1EdCvim__xyxvoo9WoburDTzYylznTCOJBHcnu7eurMw/edit?gid=15948134#gid=15948134"", ""Purpose!A1:B1000""),2,FALSE()))"),"to visualize results (i.e., performance vs time)")</f>
        <v>to visualize results (i.e., performance vs time)</v>
      </c>
      <c r="K524" s="8" t="str">
        <f>IFERROR(__xludf.DUMMYFUNCTION("IF(ISBLANK(E524),""NA"", VLOOKUP(E524,IMPORTRANGE(""https://docs.google.com/spreadsheets/d/1EdCvim__xyxvoo9WoburDTzYylznTCOJBHcnu7eurMw/edit?gid=15948134#gid=15948134"", ""Technique!A1:B2000""),2,FALSE()))"),"plot results (i.e., time series: performance vs time)")</f>
        <v>plot results (i.e., time series: performance vs time)</v>
      </c>
      <c r="L524" s="8" t="str">
        <f>IFERROR(__xludf.DUMMYFUNCTION("IF(ISBLANK(D524),""NA"", VLOOKUP(D524,IMPORTRANGE(""https://docs.google.com/spreadsheets/d/1EdCvim__xyxvoo9WoburDTzYylznTCOJBHcnu7eurMw/edit?gid=15948134#gid=15948134"", ""Input!A1:B2000""),2,FALSE()))"),"time series data (performance measurements)")</f>
        <v>time series data (performance measurements)</v>
      </c>
    </row>
    <row r="525" hidden="1">
      <c r="A525" s="1" t="s">
        <v>1712</v>
      </c>
      <c r="B525" s="1">
        <v>1.0</v>
      </c>
      <c r="C525" s="1" t="s">
        <v>1713</v>
      </c>
      <c r="D525" s="1" t="s">
        <v>910</v>
      </c>
      <c r="E525" s="14" t="s">
        <v>1714</v>
      </c>
      <c r="F525" s="14" t="s">
        <v>1715</v>
      </c>
      <c r="G525" s="1" t="s">
        <v>14</v>
      </c>
      <c r="H525" s="15" t="s">
        <v>1716</v>
      </c>
      <c r="J525" s="8" t="str">
        <f>IFERROR(__xludf.DUMMYFUNCTION("IF(ISBLANK(F525),""NA"", VLOOKUP(F525,IMPORTRANGE(""https://docs.google.com/spreadsheets/d/1EdCvim__xyxvoo9WoburDTzYylznTCOJBHcnu7eurMw/edit?gid=15948134#gid=15948134"", ""Purpose!A1:B1000""),2,FALSE()))"),"to model how a neuron affects model(s) results")</f>
        <v>to model how a neuron affects model(s) results</v>
      </c>
      <c r="K525" s="8" t="str">
        <f>IFERROR(__xludf.DUMMYFUNCTION("IF(ISBLANK(E525),""NA"", VLOOKUP(E525,IMPORTRANGE(""https://docs.google.com/spreadsheets/d/1EdCvim__xyxvoo9WoburDTzYylznTCOJBHcnu7eurMw/edit?gid=15948134#gid=15948134"", ""Technique!A1:B2000""),2,FALSE()))"),"compute metric (i.e., neuron coverage)")</f>
        <v>compute metric (i.e., neuron coverage)</v>
      </c>
      <c r="L525" s="8" t="str">
        <f>IFERROR(__xludf.DUMMYFUNCTION("IF(ISBLANK(D525),""NA"", VLOOKUP(D525,IMPORTRANGE(""https://docs.google.com/spreadsheets/d/1EdCvim__xyxvoo9WoburDTzYylznTCOJBHcnu7eurMw/edit?gid=15948134#gid=15948134"", ""Input!A1:B2000""),2,FALSE()))"),"model(s)")</f>
        <v>model(s)</v>
      </c>
    </row>
    <row r="526" hidden="1">
      <c r="A526" s="1" t="s">
        <v>1712</v>
      </c>
      <c r="B526" s="1">
        <v>2.0</v>
      </c>
      <c r="C526" s="1" t="s">
        <v>1717</v>
      </c>
      <c r="D526" s="1" t="s">
        <v>1718</v>
      </c>
      <c r="E526" s="16" t="s">
        <v>1719</v>
      </c>
      <c r="F526" s="14" t="s">
        <v>1720</v>
      </c>
      <c r="G526" s="1" t="s">
        <v>54</v>
      </c>
      <c r="H526" s="15" t="s">
        <v>1716</v>
      </c>
      <c r="J526" s="8" t="str">
        <f>IFERROR(__xludf.DUMMYFUNCTION("IF(ISBLANK(F526),""NA"", VLOOKUP(F526,IMPORTRANGE(""https://docs.google.com/spreadsheets/d/1EdCvim__xyxvoo9WoburDTzYylznTCOJBHcnu7eurMw/edit?gid=15948134#gid=15948134"", ""Purpose!A1:B1000""),2,FALSE()))"),"to cluster relevant neurons")</f>
        <v>to cluster relevant neurons</v>
      </c>
      <c r="K526" s="8" t="str">
        <f>IFERROR(__xludf.DUMMYFUNCTION("IF(ISBLANK(E526),""NA"", VLOOKUP(E526,IMPORTRANGE(""https://docs.google.com/spreadsheets/d/1EdCvim__xyxvoo9WoburDTzYylznTCOJBHcnu7eurMw/edit?gid=15948134#gid=15948134"", ""Technique!A1:B2000""),2,FALSE()))"),"clustering, k-means")</f>
        <v>clustering, k-means</v>
      </c>
      <c r="L526" s="8" t="str">
        <f>IFERROR(__xludf.DUMMYFUNCTION("IF(ISBLANK(D526),""NA"", VLOOKUP(D526,IMPORTRANGE(""https://docs.google.com/spreadsheets/d/1EdCvim__xyxvoo9WoburDTzYylznTCOJBHcnu7eurMw/edit?gid=15948134#gid=15948134"", ""Input!A1:B2000""),2,FALSE()))"),"computed neuron relevance")</f>
        <v>computed neuron relevance</v>
      </c>
    </row>
    <row r="527" hidden="1">
      <c r="A527" s="1" t="s">
        <v>1712</v>
      </c>
      <c r="B527" s="1">
        <v>3.0</v>
      </c>
      <c r="C527" s="1" t="s">
        <v>1717</v>
      </c>
      <c r="D527" s="1" t="s">
        <v>1721</v>
      </c>
      <c r="E527" s="16" t="s">
        <v>1722</v>
      </c>
      <c r="F527" s="14" t="s">
        <v>1723</v>
      </c>
      <c r="G527" s="1" t="s">
        <v>54</v>
      </c>
      <c r="H527" s="15" t="s">
        <v>1716</v>
      </c>
      <c r="J527" s="8" t="str">
        <f>IFERROR(__xludf.DUMMYFUNCTION("IF(ISBLANK(F527),""NA"", VLOOKUP(F527,IMPORTRANGE(""https://docs.google.com/spreadsheets/d/1EdCvim__xyxvoo9WoburDTzYylznTCOJBHcnu7eurMw/edit?gid=15948134#gid=15948134"", ""Purpose!A1:B1000""),2,FALSE()))"),"to automatically identigfy the optimal number of clusters")</f>
        <v>to automatically identigfy the optimal number of clusters</v>
      </c>
      <c r="K527" s="8" t="str">
        <f>IFERROR(__xludf.DUMMYFUNCTION("IF(ISBLANK(E527),""NA"", VLOOKUP(E527,IMPORTRANGE(""https://docs.google.com/spreadsheets/d/1EdCvim__xyxvoo9WoburDTzYylznTCOJBHcnu7eurMw/edit?gid=15948134#gid=15948134"", ""Technique!A1:B2000""),2,FALSE()))"),"compute metrics (i.e., Silhouette index)")</f>
        <v>compute metrics (i.e., Silhouette index)</v>
      </c>
      <c r="L527" s="8" t="str">
        <f>IFERROR(__xludf.DUMMYFUNCTION("IF(ISBLANK(D527),""NA"", VLOOKUP(D527,IMPORTRANGE(""https://docs.google.com/spreadsheets/d/1EdCvim__xyxvoo9WoburDTzYylznTCOJBHcnu7eurMw/edit?gid=15948134#gid=15948134"", ""Input!A1:B2000""),2,FALSE()))"),"model(s)' output, clusters")</f>
        <v>model(s)' output, clusters</v>
      </c>
    </row>
    <row r="528" hidden="1">
      <c r="A528" s="1" t="s">
        <v>1712</v>
      </c>
      <c r="B528" s="1">
        <v>4.0</v>
      </c>
      <c r="C528" s="1" t="s">
        <v>1724</v>
      </c>
      <c r="E528" s="16" t="s">
        <v>1725</v>
      </c>
      <c r="F528" s="14" t="s">
        <v>1726</v>
      </c>
      <c r="G528" s="1" t="s">
        <v>54</v>
      </c>
      <c r="H528" s="15" t="s">
        <v>1716</v>
      </c>
      <c r="J528" s="8" t="str">
        <f>IFERROR(__xludf.DUMMYFUNCTION("IF(ISBLANK(F528),""NA"", VLOOKUP(F528,IMPORTRANGE(""https://docs.google.com/spreadsheets/d/1EdCvim__xyxvoo9WoburDTzYylznTCOJBHcnu7eurMw/edit?gid=15948134#gid=15948134"", ""Purpose!A1:B1000""),2,FALSE()))"),"to evaluate adequacy of the tests for deep learning")</f>
        <v>to evaluate adequacy of the tests for deep learning</v>
      </c>
      <c r="K528" s="8" t="str">
        <f>IFERROR(__xludf.DUMMYFUNCTION("IF(ISBLANK(E528),""NA"", VLOOKUP(E528,IMPORTRANGE(""https://docs.google.com/spreadsheets/d/1EdCvim__xyxvoo9WoburDTzYylznTCOJBHcnu7eurMw/edit?gid=15948134#gid=15948134"", ""Technique!A1:B2000""),2,FALSE()))"),"compute metrics (i.e., importance-driven coverage)")</f>
        <v>compute metrics (i.e., importance-driven coverage)</v>
      </c>
      <c r="L528" s="8" t="str">
        <f>IFERROR(__xludf.DUMMYFUNCTION("IF(ISBLANK(D528),""NA"", VLOOKUP(D528,IMPORTRANGE(""https://docs.google.com/spreadsheets/d/1EdCvim__xyxvoo9WoburDTzYylznTCOJBHcnu7eurMw/edit?gid=15948134#gid=15948134"", ""Input!A1:B2000""),2,FALSE()))"),"NA")</f>
        <v>NA</v>
      </c>
    </row>
    <row r="529" hidden="1">
      <c r="A529" s="1" t="s">
        <v>1712</v>
      </c>
      <c r="B529" s="1">
        <v>5.0</v>
      </c>
      <c r="C529" s="1" t="s">
        <v>1727</v>
      </c>
      <c r="E529" s="16" t="s">
        <v>1728</v>
      </c>
      <c r="F529" s="14" t="s">
        <v>585</v>
      </c>
      <c r="G529" s="1" t="s">
        <v>54</v>
      </c>
      <c r="H529" s="15" t="s">
        <v>1716</v>
      </c>
      <c r="J529" s="8" t="str">
        <f>IFERROR(__xludf.DUMMYFUNCTION("IF(ISBLANK(F529),""NA"", VLOOKUP(F529,IMPORTRANGE(""https://docs.google.com/spreadsheets/d/1EdCvim__xyxvoo9WoburDTzYylznTCOJBHcnu7eurMw/edit?gid=15948134#gid=15948134"", ""Purpose!A1:B1000""),2,FALSE()))"),"to be able to replicate/reproduce a study, research")</f>
        <v>to be able to replicate/reproduce a study, research</v>
      </c>
      <c r="K529" s="8" t="str">
        <f>IFERROR(__xludf.DUMMYFUNCTION("IF(ISBLANK(E529),""NA"", VLOOKUP(E529,IMPORTRANGE(""https://docs.google.com/spreadsheets/d/1EdCvim__xyxvoo9WoburDTzYylznTCOJBHcnu7eurMw/edit?gid=15948134#gid=15948134"", ""Technique!A1:B2000""),2,FALSE()))"),"use existing datasets")</f>
        <v>use existing datasets</v>
      </c>
      <c r="L529" s="8" t="str">
        <f>IFERROR(__xludf.DUMMYFUNCTION("IF(ISBLANK(D529),""NA"", VLOOKUP(D529,IMPORTRANGE(""https://docs.google.com/spreadsheets/d/1EdCvim__xyxvoo9WoburDTzYylznTCOJBHcnu7eurMw/edit?gid=15948134#gid=15948134"", ""Input!A1:B2000""),2,FALSE()))"),"NA")</f>
        <v>NA</v>
      </c>
    </row>
    <row r="530" hidden="1">
      <c r="A530" s="1" t="s">
        <v>1712</v>
      </c>
      <c r="B530" s="1">
        <v>6.0</v>
      </c>
      <c r="C530" s="1" t="s">
        <v>1727</v>
      </c>
      <c r="E530" s="16" t="s">
        <v>1729</v>
      </c>
      <c r="F530" s="14" t="s">
        <v>1730</v>
      </c>
      <c r="G530" s="1" t="s">
        <v>54</v>
      </c>
      <c r="H530" s="15" t="s">
        <v>1716</v>
      </c>
      <c r="J530" s="8" t="str">
        <f>IFERROR(__xludf.DUMMYFUNCTION("IF(ISBLANK(F530),""NA"", VLOOKUP(F530,IMPORTRANGE(""https://docs.google.com/spreadsheets/d/1EdCvim__xyxvoo9WoburDTzYylznTCOJBHcnu7eurMw/edit?gid=15948134#gid=15948134"", ""Purpose!A1:B1000""),2,FALSE()))"),"to evaluate the model thoroughly, systematically and comprehensibly")</f>
        <v>to evaluate the model thoroughly, systematically and comprehensibly</v>
      </c>
      <c r="K530" s="8" t="str">
        <f>IFERROR(__xludf.DUMMYFUNCTION("IF(ISBLANK(E530),""NA"", VLOOKUP(E530,IMPORTRANGE(""https://docs.google.com/spreadsheets/d/1EdCvim__xyxvoo9WoburDTzYylznTCOJBHcnu7eurMw/edit?gid=15948134#gid=15948134"", ""Technique!A1:B2000""),2,FALSE()))"),"evaluate the XAI for differente architectures and model complexities")</f>
        <v>evaluate the XAI for differente architectures and model complexities</v>
      </c>
      <c r="L530" s="8" t="str">
        <f>IFERROR(__xludf.DUMMYFUNCTION("IF(ISBLANK(D530),""NA"", VLOOKUP(D530,IMPORTRANGE(""https://docs.google.com/spreadsheets/d/1EdCvim__xyxvoo9WoburDTzYylznTCOJBHcnu7eurMw/edit?gid=15948134#gid=15948134"", ""Input!A1:B2000""),2,FALSE()))"),"NA")</f>
        <v>NA</v>
      </c>
    </row>
    <row r="531" hidden="1">
      <c r="A531" s="1" t="s">
        <v>1712</v>
      </c>
      <c r="B531" s="1">
        <v>7.0</v>
      </c>
      <c r="C531" s="1" t="s">
        <v>1727</v>
      </c>
      <c r="E531" s="16" t="s">
        <v>1731</v>
      </c>
      <c r="F531" s="14" t="s">
        <v>585</v>
      </c>
      <c r="G531" s="1" t="s">
        <v>54</v>
      </c>
      <c r="H531" s="15" t="s">
        <v>1716</v>
      </c>
      <c r="J531" s="8" t="str">
        <f>IFERROR(__xludf.DUMMYFUNCTION("IF(ISBLANK(F531),""NA"", VLOOKUP(F531,IMPORTRANGE(""https://docs.google.com/spreadsheets/d/1EdCvim__xyxvoo9WoburDTzYylznTCOJBHcnu7eurMw/edit?gid=15948134#gid=15948134"", ""Purpose!A1:B1000""),2,FALSE()))"),"to be able to replicate/reproduce a study, research")</f>
        <v>to be able to replicate/reproduce a study, research</v>
      </c>
      <c r="K531" s="8" t="str">
        <f>IFERROR(__xludf.DUMMYFUNCTION("IF(ISBLANK(E531),""NA"", VLOOKUP(E531,IMPORTRANGE(""https://docs.google.com/spreadsheets/d/1EdCvim__xyxvoo9WoburDTzYylznTCOJBHcnu7eurMw/edit?gid=15948134#gid=15948134"", ""Technique!A1:B2000""),2,FALSE()))"),"publish the model")</f>
        <v>publish the model</v>
      </c>
      <c r="L531" s="8" t="str">
        <f>IFERROR(__xludf.DUMMYFUNCTION("IF(ISBLANK(D531),""NA"", VLOOKUP(D531,IMPORTRANGE(""https://docs.google.com/spreadsheets/d/1EdCvim__xyxvoo9WoburDTzYylznTCOJBHcnu7eurMw/edit?gid=15948134#gid=15948134"", ""Input!A1:B2000""),2,FALSE()))"),"NA")</f>
        <v>NA</v>
      </c>
    </row>
    <row r="532" hidden="1">
      <c r="A532" s="1" t="s">
        <v>1712</v>
      </c>
      <c r="B532" s="1">
        <v>8.0</v>
      </c>
      <c r="C532" s="1" t="s">
        <v>1727</v>
      </c>
      <c r="E532" s="14" t="s">
        <v>1732</v>
      </c>
      <c r="F532" s="14" t="s">
        <v>1733</v>
      </c>
      <c r="G532" s="1" t="s">
        <v>44</v>
      </c>
      <c r="H532" s="15" t="s">
        <v>1716</v>
      </c>
      <c r="J532" s="8" t="str">
        <f>IFERROR(__xludf.DUMMYFUNCTION("IF(ISBLANK(F532),""NA"", VLOOKUP(F532,IMPORTRANGE(""https://docs.google.com/spreadsheets/d/1EdCvim__xyxvoo9WoburDTzYylznTCOJBHcnu7eurMw/edit?gid=15948134#gid=15948134"", ""Purpose!A1:B1000""),2,FALSE()))"),"to enable the evaluation of generalization and model sensitivity")</f>
        <v>to enable the evaluation of generalization and model sensitivity</v>
      </c>
      <c r="K532" s="8" t="str">
        <f>IFERROR(__xludf.DUMMYFUNCTION("IF(ISBLANK(E532),""NA"", VLOOKUP(E532,IMPORTRANGE(""https://docs.google.com/spreadsheets/d/1EdCvim__xyxvoo9WoburDTzYylznTCOJBHcnu7eurMw/edit?gid=15948134#gid=15948134"", ""Technique!A1:B2000""),2,FALSE()))"),"add small perturbations to original data (synthetic inputs) + add carefully crafted perturbations to original data (adversarial inputs)")</f>
        <v>add small perturbations to original data (synthetic inputs) + add carefully crafted perturbations to original data (adversarial inputs)</v>
      </c>
      <c r="L532" s="8" t="str">
        <f>IFERROR(__xludf.DUMMYFUNCTION("IF(ISBLANK(D532),""NA"", VLOOKUP(D532,IMPORTRANGE(""https://docs.google.com/spreadsheets/d/1EdCvim__xyxvoo9WoburDTzYylznTCOJBHcnu7eurMw/edit?gid=15948134#gid=15948134"", ""Input!A1:B2000""),2,FALSE()))"),"NA")</f>
        <v>NA</v>
      </c>
    </row>
    <row r="533" hidden="1">
      <c r="A533" s="1" t="s">
        <v>1712</v>
      </c>
      <c r="B533" s="1">
        <v>9.0</v>
      </c>
      <c r="C533" s="1" t="s">
        <v>1734</v>
      </c>
      <c r="E533" s="14" t="s">
        <v>1735</v>
      </c>
      <c r="G533" s="1" t="s">
        <v>39</v>
      </c>
      <c r="H533" s="15" t="s">
        <v>1716</v>
      </c>
      <c r="J533" s="8" t="str">
        <f>IFERROR(__xludf.DUMMYFUNCTION("IF(ISBLANK(F533),""NA"", VLOOKUP(F533,IMPORTRANGE(""https://docs.google.com/spreadsheets/d/1EdCvim__xyxvoo9WoburDTzYylznTCOJBHcnu7eurMw/edit?gid=15948134#gid=15948134"", ""Purpose!A1:B1000""),2,FALSE()))"),"NA")</f>
        <v>NA</v>
      </c>
      <c r="K533" s="8" t="str">
        <f>IFERROR(__xludf.DUMMYFUNCTION("IF(ISBLANK(E533),""NA"", VLOOKUP(E533,IMPORTRANGE(""https://docs.google.com/spreadsheets/d/1EdCvim__xyxvoo9WoburDTzYylznTCOJBHcnu7eurMw/edit?gid=15948134#gid=15948134"", ""Technique!A1:B2000""),2,FALSE()))"),"plot results (i.e., boxplots)")</f>
        <v>plot results (i.e., boxplots)</v>
      </c>
      <c r="L533" s="8" t="str">
        <f>IFERROR(__xludf.DUMMYFUNCTION("IF(ISBLANK(D533),""NA"", VLOOKUP(D533,IMPORTRANGE(""https://docs.google.com/spreadsheets/d/1EdCvim__xyxvoo9WoburDTzYylznTCOJBHcnu7eurMw/edit?gid=15948134#gid=15948134"", ""Input!A1:B2000""),2,FALSE()))"),"NA")</f>
        <v>NA</v>
      </c>
    </row>
    <row r="534" hidden="1">
      <c r="A534" s="1" t="s">
        <v>1712</v>
      </c>
      <c r="B534" s="1">
        <v>10.0</v>
      </c>
      <c r="C534" s="1" t="s">
        <v>1734</v>
      </c>
      <c r="E534" s="14" t="s">
        <v>1736</v>
      </c>
      <c r="F534" s="14" t="s">
        <v>1737</v>
      </c>
      <c r="G534" s="1" t="s">
        <v>39</v>
      </c>
      <c r="H534" s="15" t="s">
        <v>1716</v>
      </c>
      <c r="J534" s="8" t="str">
        <f>IFERROR(__xludf.DUMMYFUNCTION("IF(ISBLANK(F534),""NA"", VLOOKUP(F534,IMPORTRANGE(""https://docs.google.com/spreadsheets/d/1EdCvim__xyxvoo9WoburDTzYylznTCOJBHcnu7eurMw/edit?gid=15948134#gid=15948134"", ""Purpose!A1:B1000""),2,FALSE()))"),"to account randomeness of nondeterministic process")</f>
        <v>to account randomeness of nondeterministic process</v>
      </c>
      <c r="K534" s="8" t="str">
        <f>IFERROR(__xludf.DUMMYFUNCTION("IF(ISBLANK(E534),""NA"", VLOOKUP(E534,IMPORTRANGE(""https://docs.google.com/spreadsheets/d/1EdCvim__xyxvoo9WoburDTzYylznTCOJBHcnu7eurMw/edit?gid=15948134#gid=15948134"", ""Technique!A1:B2000""),2,FALSE()))"),"multiple runs/experiments, independent runs")</f>
        <v>multiple runs/experiments, independent runs</v>
      </c>
      <c r="L534" s="8" t="str">
        <f>IFERROR(__xludf.DUMMYFUNCTION("IF(ISBLANK(D534),""NA"", VLOOKUP(D534,IMPORTRANGE(""https://docs.google.com/spreadsheets/d/1EdCvim__xyxvoo9WoburDTzYylznTCOJBHcnu7eurMw/edit?gid=15948134#gid=15948134"", ""Input!A1:B2000""),2,FALSE()))"),"NA")</f>
        <v>NA</v>
      </c>
    </row>
    <row r="535" hidden="1">
      <c r="A535" s="1" t="s">
        <v>1738</v>
      </c>
      <c r="B535" s="1">
        <v>1.0</v>
      </c>
      <c r="C535" s="1" t="s">
        <v>1739</v>
      </c>
      <c r="D535" s="1" t="s">
        <v>1740</v>
      </c>
      <c r="E535" s="14" t="s">
        <v>1741</v>
      </c>
      <c r="F535" s="14" t="s">
        <v>1344</v>
      </c>
      <c r="G535" s="1" t="s">
        <v>44</v>
      </c>
      <c r="H535" s="15" t="s">
        <v>372</v>
      </c>
      <c r="J535" s="8" t="str">
        <f>IFERROR(__xludf.DUMMYFUNCTION("IF(ISBLANK(F535),""NA"", VLOOKUP(F535,IMPORTRANGE(""https://docs.google.com/spreadsheets/d/1EdCvim__xyxvoo9WoburDTzYylznTCOJBHcnu7eurMw/edit?gid=15948134#gid=15948134"", ""Purpose!A1:B1000""),2,FALSE()))"),"to collect data")</f>
        <v>to collect data</v>
      </c>
      <c r="K535" s="8" t="str">
        <f>IFERROR(__xludf.DUMMYFUNCTION("IF(ISBLANK(E535),""NA"", VLOOKUP(E535,IMPORTRANGE(""https://docs.google.com/spreadsheets/d/1EdCvim__xyxvoo9WoburDTzYylznTCOJBHcnu7eurMw/edit?gid=15948134#gid=15948134"", ""Technique!A1:B2000""),2,FALSE()))"),"collect own data, crawl data from CI/CD pipeline")</f>
        <v>collect own data, crawl data from CI/CD pipeline</v>
      </c>
      <c r="L535" s="8" t="str">
        <f>IFERROR(__xludf.DUMMYFUNCTION("IF(ISBLANK(D535),""NA"", VLOOKUP(D535,IMPORTRANGE(""https://docs.google.com/spreadsheets/d/1EdCvim__xyxvoo9WoburDTzYylznTCOJBHcnu7eurMw/edit?gid=15948134#gid=15948134"", ""Input!A1:B2000""),2,FALSE()))"),"code data (test suits) + textual data (Pull requests)")</f>
        <v>code data (test suits) + textual data (Pull requests)</v>
      </c>
    </row>
    <row r="536" hidden="1">
      <c r="A536" s="1" t="s">
        <v>1738</v>
      </c>
      <c r="B536" s="1">
        <v>2.0</v>
      </c>
      <c r="C536" s="1" t="s">
        <v>1742</v>
      </c>
      <c r="D536" s="1" t="s">
        <v>1743</v>
      </c>
      <c r="E536" s="14" t="s">
        <v>1744</v>
      </c>
      <c r="F536" s="14" t="s">
        <v>1745</v>
      </c>
      <c r="G536" s="1" t="s">
        <v>39</v>
      </c>
      <c r="H536" s="15" t="s">
        <v>372</v>
      </c>
      <c r="J536" s="8" t="str">
        <f>IFERROR(__xludf.DUMMYFUNCTION("IF(ISBLANK(F536),""NA"", VLOOKUP(F536,IMPORTRANGE(""https://docs.google.com/spreadsheets/d/1EdCvim__xyxvoo9WoburDTzYylznTCOJBHcnu7eurMw/edit?gid=15948134#gid=15948134"", ""Purpose!A1:B1000""),2,FALSE()))"),"to evaluate model(s) functionally (e.g., accuracy)")</f>
        <v>to evaluate model(s) functionally (e.g., accuracy)</v>
      </c>
      <c r="K536" s="8" t="str">
        <f>IFERROR(__xludf.DUMMYFUNCTION("IF(ISBLANK(E536),""NA"", VLOOKUP(E536,IMPORTRANGE(""https://docs.google.com/spreadsheets/d/1EdCvim__xyxvoo9WoburDTzYylznTCOJBHcnu7eurMw/edit?gid=15948134#gid=15948134"", ""Technique!A1:B2000""),2,FALSE()))"),"compute metrics (i.e., recall in different granularities, i.e., testing session or test)")</f>
        <v>compute metrics (i.e., recall in different granularities, i.e., testing session or test)</v>
      </c>
      <c r="L536" s="8" t="str">
        <f>IFERROR(__xludf.DUMMYFUNCTION("IF(ISBLANK(D536),""NA"", VLOOKUP(D536,IMPORTRANGE(""https://docs.google.com/spreadsheets/d/1EdCvim__xyxvoo9WoburDTzYylznTCOJBHcnu7eurMw/edit?gid=15948134#gid=15948134"", ""Input!A1:B2000""),2,FALSE()))"),"data (test set) + model(s)")</f>
        <v>data (test set) + model(s)</v>
      </c>
    </row>
    <row r="537" hidden="1">
      <c r="A537" s="1" t="s">
        <v>1738</v>
      </c>
      <c r="B537" s="1">
        <v>3.0</v>
      </c>
      <c r="C537" s="1" t="s">
        <v>1746</v>
      </c>
      <c r="E537" s="14" t="s">
        <v>1747</v>
      </c>
      <c r="F537" s="14" t="s">
        <v>1748</v>
      </c>
      <c r="G537" s="1" t="s">
        <v>39</v>
      </c>
      <c r="H537" s="15" t="s">
        <v>372</v>
      </c>
      <c r="J537" s="8" t="str">
        <f>IFERROR(__xludf.DUMMYFUNCTION("IF(ISBLANK(F537),""NA"", VLOOKUP(F537,IMPORTRANGE(""https://docs.google.com/spreadsheets/d/1EdCvim__xyxvoo9WoburDTzYylznTCOJBHcnu7eurMw/edit?gid=15948134#gid=15948134"", ""Purpose!A1:B1000""),2,FALSE()))"),"to evaluate model(s) functionally (e.g., accuracy) against others")</f>
        <v>to evaluate model(s) functionally (e.g., accuracy) against others</v>
      </c>
      <c r="K537" s="8" t="str">
        <f>IFERROR(__xludf.DUMMYFUNCTION("IF(ISBLANK(E537),""NA"", VLOOKUP(E537,IMPORTRANGE(""https://docs.google.com/spreadsheets/d/1EdCvim__xyxvoo9WoburDTzYylznTCOJBHcnu7eurMw/edit?gid=15948134#gid=15948134"", ""Technique!A1:B2000""),2,FALSE()))"),"compare with baseline model(s), non ml (probabislitic and random baseline)")</f>
        <v>compare with baseline model(s), non ml (probabislitic and random baseline)</v>
      </c>
      <c r="L537" s="8" t="str">
        <f>IFERROR(__xludf.DUMMYFUNCTION("IF(ISBLANK(D537),""NA"", VLOOKUP(D537,IMPORTRANGE(""https://docs.google.com/spreadsheets/d/1EdCvim__xyxvoo9WoburDTzYylznTCOJBHcnu7eurMw/edit?gid=15948134#gid=15948134"", ""Input!A1:B2000""),2,FALSE()))"),"NA")</f>
        <v>NA</v>
      </c>
    </row>
    <row r="538" hidden="1">
      <c r="A538" s="1" t="s">
        <v>1738</v>
      </c>
      <c r="B538" s="1">
        <v>4.0</v>
      </c>
      <c r="C538" s="1" t="s">
        <v>1749</v>
      </c>
      <c r="E538" s="14" t="s">
        <v>1750</v>
      </c>
      <c r="F538" s="14" t="s">
        <v>1751</v>
      </c>
      <c r="G538" s="1" t="s">
        <v>39</v>
      </c>
      <c r="H538" s="15" t="s">
        <v>372</v>
      </c>
      <c r="J538" s="8" t="str">
        <f>IFERROR(__xludf.DUMMYFUNCTION("IF(ISBLANK(F538),""NA"", VLOOKUP(F538,IMPORTRANGE(""https://docs.google.com/spreadsheets/d/1EdCvim__xyxvoo9WoburDTzYylznTCOJBHcnu7eurMw/edit?gid=15948134#gid=15948134"", ""Purpose!A1:B1000""),2,FALSE()))"),"to evaluate human impression of the model in a functional manner")</f>
        <v>to evaluate human impression of the model in a functional manner</v>
      </c>
      <c r="K538" s="8" t="str">
        <f>IFERROR(__xludf.DUMMYFUNCTION("IF(ISBLANK(E538),""NA"", VLOOKUP(E538,IMPORTRANGE(""https://docs.google.com/spreadsheets/d/1EdCvim__xyxvoo9WoburDTzYylznTCOJBHcnu7eurMw/edit?gid=15948134#gid=15948134"", ""Technique!A1:B2000""),2,FALSE()))"),"use results of interviews")</f>
        <v>use results of interviews</v>
      </c>
      <c r="L538" s="8" t="str">
        <f>IFERROR(__xludf.DUMMYFUNCTION("IF(ISBLANK(D538),""NA"", VLOOKUP(D538,IMPORTRANGE(""https://docs.google.com/spreadsheets/d/1EdCvim__xyxvoo9WoburDTzYylznTCOJBHcnu7eurMw/edit?gid=15948134#gid=15948134"", ""Input!A1:B2000""),2,FALSE()))"),"NA")</f>
        <v>NA</v>
      </c>
    </row>
    <row r="539" hidden="1">
      <c r="A539" s="1" t="s">
        <v>1738</v>
      </c>
      <c r="B539" s="1">
        <v>5.0</v>
      </c>
      <c r="C539" s="1" t="s">
        <v>1752</v>
      </c>
      <c r="E539" s="14" t="s">
        <v>1753</v>
      </c>
      <c r="F539" s="14" t="s">
        <v>1754</v>
      </c>
      <c r="G539" s="1" t="s">
        <v>44</v>
      </c>
      <c r="H539" s="15" t="s">
        <v>372</v>
      </c>
      <c r="J539" s="8" t="str">
        <f>IFERROR(__xludf.DUMMYFUNCTION("IF(ISBLANK(F539),""NA"", VLOOKUP(F539,IMPORTRANGE(""https://docs.google.com/spreadsheets/d/1EdCvim__xyxvoo9WoburDTzYylznTCOJBHcnu7eurMw/edit?gid=15948134#gid=15948134"", ""Purpose!A1:B1000""),2,FALSE()))"),"to collect data, textual data")</f>
        <v>to collect data, textual data</v>
      </c>
      <c r="K539" s="8" t="str">
        <f>IFERROR(__xludf.DUMMYFUNCTION("IF(ISBLANK(E539),""NA"", VLOOKUP(E539,IMPORTRANGE(""https://docs.google.com/spreadsheets/d/1EdCvim__xyxvoo9WoburDTzYylznTCOJBHcnu7eurMw/edit?gid=15948134#gid=15948134"", ""Technique!A1:B2000""),2,FALSE()))"),"use test execution logs")</f>
        <v>use test execution logs</v>
      </c>
      <c r="L539" s="8" t="str">
        <f>IFERROR(__xludf.DUMMYFUNCTION("IF(ISBLANK(D539),""NA"", VLOOKUP(D539,IMPORTRANGE(""https://docs.google.com/spreadsheets/d/1EdCvim__xyxvoo9WoburDTzYylznTCOJBHcnu7eurMw/edit?gid=15948134#gid=15948134"", ""Input!A1:B2000""),2,FALSE()))"),"NA")</f>
        <v>NA</v>
      </c>
    </row>
    <row r="540" hidden="1">
      <c r="A540" s="1" t="s">
        <v>1755</v>
      </c>
      <c r="B540" s="1">
        <v>1.0</v>
      </c>
      <c r="C540" s="1" t="s">
        <v>1756</v>
      </c>
      <c r="D540" s="1" t="s">
        <v>1757</v>
      </c>
      <c r="E540" s="15" t="s">
        <v>1758</v>
      </c>
      <c r="F540" s="14" t="s">
        <v>1524</v>
      </c>
      <c r="G540" s="1" t="s">
        <v>20</v>
      </c>
      <c r="H540" s="15" t="s">
        <v>938</v>
      </c>
      <c r="J540" s="8" t="str">
        <f>IFERROR(__xludf.DUMMYFUNCTION("IF(ISBLANK(F540),""NA"", VLOOKUP(F540,IMPORTRANGE(""https://docs.google.com/spreadsheets/d/1EdCvim__xyxvoo9WoburDTzYylznTCOJBHcnu7eurMw/edit?gid=15948134#gid=15948134"", ""Purpose!A1:B1000""),2,FALSE()))"),"to pre-process the data")</f>
        <v>to pre-process the data</v>
      </c>
      <c r="K540" s="8" t="str">
        <f>IFERROR(__xludf.DUMMYFUNCTION("IF(ISBLANK(E540),""NA"", VLOOKUP(E540,IMPORTRANGE(""https://docs.google.com/spreadsheets/d/1EdCvim__xyxvoo9WoburDTzYylznTCOJBHcnu7eurMw/edit?gid=15948134#gid=15948134"", ""Technique!A1:B2000""),2,FALSE()))"),"extract relevant information via pattern matching")</f>
        <v>extract relevant information via pattern matching</v>
      </c>
      <c r="L540" s="8" t="str">
        <f>IFERROR(__xludf.DUMMYFUNCTION("IF(ISBLANK(D540),""NA"", VLOOKUP(D540,IMPORTRANGE(""https://docs.google.com/spreadsheets/d/1EdCvim__xyxvoo9WoburDTzYylznTCOJBHcnu7eurMw/edit?gid=15948134#gid=15948134"", ""Input!A1:B2000""),2,FALSE()))"),"textual data (bug comments)")</f>
        <v>textual data (bug comments)</v>
      </c>
    </row>
    <row r="541" hidden="1">
      <c r="A541" s="1" t="s">
        <v>1755</v>
      </c>
      <c r="B541" s="1">
        <v>2.0</v>
      </c>
      <c r="C541" s="1" t="s">
        <v>1759</v>
      </c>
      <c r="D541" s="1" t="s">
        <v>1757</v>
      </c>
      <c r="E541" s="15" t="s">
        <v>1760</v>
      </c>
      <c r="F541" s="14" t="s">
        <v>1761</v>
      </c>
      <c r="G541" s="1" t="s">
        <v>20</v>
      </c>
      <c r="H541" s="15" t="s">
        <v>938</v>
      </c>
      <c r="J541" s="8" t="str">
        <f>IFERROR(__xludf.DUMMYFUNCTION("IF(ISBLANK(F541),""NA"", VLOOKUP(F541,IMPORTRANGE(""https://docs.google.com/spreadsheets/d/1EdCvim__xyxvoo9WoburDTzYylznTCOJBHcnu7eurMw/edit?gid=15948134#gid=15948134"", ""Purpose!A1:B1000""),2,FALSE()))"),"to compute significance of terms")</f>
        <v>to compute significance of terms</v>
      </c>
      <c r="K541" s="8" t="str">
        <f>IFERROR(__xludf.DUMMYFUNCTION("IF(ISBLANK(E541),""NA"", VLOOKUP(E541,IMPORTRANGE(""https://docs.google.com/spreadsheets/d/1EdCvim__xyxvoo9WoburDTzYylznTCOJBHcnu7eurMw/edit?gid=15948134#gid=15948134"", ""Technique!A1:B2000""),2,FALSE()))"),"use TF-IDF")</f>
        <v>use TF-IDF</v>
      </c>
      <c r="L541" s="8" t="str">
        <f>IFERROR(__xludf.DUMMYFUNCTION("IF(ISBLANK(D541),""NA"", VLOOKUP(D541,IMPORTRANGE(""https://docs.google.com/spreadsheets/d/1EdCvim__xyxvoo9WoburDTzYylznTCOJBHcnu7eurMw/edit?gid=15948134#gid=15948134"", ""Input!A1:B2000""),2,FALSE()))"),"textual data (bug comments)")</f>
        <v>textual data (bug comments)</v>
      </c>
    </row>
    <row r="542" hidden="1">
      <c r="A542" s="1" t="s">
        <v>1755</v>
      </c>
      <c r="B542" s="1" t="s">
        <v>1762</v>
      </c>
      <c r="C542" s="1" t="s">
        <v>1763</v>
      </c>
      <c r="D542" s="1" t="s">
        <v>1764</v>
      </c>
      <c r="E542" s="1" t="s">
        <v>440</v>
      </c>
      <c r="F542" s="14" t="s">
        <v>434</v>
      </c>
      <c r="G542" s="1" t="s">
        <v>39</v>
      </c>
      <c r="H542" s="15" t="s">
        <v>938</v>
      </c>
      <c r="J542" s="8" t="str">
        <f>IFERROR(__xludf.DUMMYFUNCTION("IF(ISBLANK(F542),""NA"", VLOOKUP(F542,IMPORTRANGE(""https://docs.google.com/spreadsheets/d/1EdCvim__xyxvoo9WoburDTzYylznTCOJBHcnu7eurMw/edit?gid=15948134#gid=15948134"", ""Purpose!A1:B1000""),2,FALSE()))"),"to evaluate model(s) functionally (e.g., accuracy)")</f>
        <v>to evaluate model(s) functionally (e.g., accuracy)</v>
      </c>
      <c r="K542" s="8" t="str">
        <f>IFERROR(__xludf.DUMMYFUNCTION("IF(ISBLANK(E542),""NA"", VLOOKUP(E542,IMPORTRANGE(""https://docs.google.com/spreadsheets/d/1EdCvim__xyxvoo9WoburDTzYylznTCOJBHcnu7eurMw/edit?gid=15948134#gid=15948134"", ""Technique!A1:B2000""),2,FALSE()))"),"compute classical metrics (i.e., Precision, Recall. F-meassure)")</f>
        <v>compute classical metrics (i.e., Precision, Recall. F-meassure)</v>
      </c>
      <c r="L542" s="8" t="str">
        <f>IFERROR(__xludf.DUMMYFUNCTION("IF(ISBLANK(D542),""NA"", VLOOKUP(D542,IMPORTRANGE(""https://docs.google.com/spreadsheets/d/1EdCvim__xyxvoo9WoburDTzYylznTCOJBHcnu7eurMw/edit?gid=15948134#gid=15948134"", ""Input!A1:B2000""),2,FALSE()))"),"data (test set) + model(s)")</f>
        <v>data (test set) + model(s)</v>
      </c>
    </row>
    <row r="543" hidden="1">
      <c r="A543" s="1" t="s">
        <v>1755</v>
      </c>
      <c r="B543" s="1" t="s">
        <v>1042</v>
      </c>
      <c r="C543" s="1" t="s">
        <v>1765</v>
      </c>
      <c r="D543" s="1" t="s">
        <v>1766</v>
      </c>
      <c r="E543" s="1" t="s">
        <v>1767</v>
      </c>
      <c r="F543" s="14" t="s">
        <v>434</v>
      </c>
      <c r="G543" s="1" t="s">
        <v>39</v>
      </c>
      <c r="H543" s="15" t="s">
        <v>938</v>
      </c>
      <c r="J543" s="8" t="str">
        <f>IFERROR(__xludf.DUMMYFUNCTION("IF(ISBLANK(F543),""NA"", VLOOKUP(F543,IMPORTRANGE(""https://docs.google.com/spreadsheets/d/1EdCvim__xyxvoo9WoburDTzYylznTCOJBHcnu7eurMw/edit?gid=15948134#gid=15948134"", ""Purpose!A1:B1000""),2,FALSE()))"),"to evaluate model(s) functionally (e.g., accuracy)")</f>
        <v>to evaluate model(s) functionally (e.g., accuracy)</v>
      </c>
      <c r="K543" s="8" t="str">
        <f>IFERROR(__xludf.DUMMYFUNCTION("IF(ISBLANK(E543),""NA"", VLOOKUP(E543,IMPORTRANGE(""https://docs.google.com/spreadsheets/d/1EdCvim__xyxvoo9WoburDTzYylznTCOJBHcnu7eurMw/edit?gid=15948134#gid=15948134"", ""Technique!A1:B2000""),2,FALSE()))"),"compare with baseline model(s), state-of-the-art baselines")</f>
        <v>compare with baseline model(s), state-of-the-art baselines</v>
      </c>
      <c r="L543" s="8" t="str">
        <f>IFERROR(__xludf.DUMMYFUNCTION("IF(ISBLANK(D543),""NA"", VLOOKUP(D543,IMPORTRANGE(""https://docs.google.com/spreadsheets/d/1EdCvim__xyxvoo9WoburDTzYylznTCOJBHcnu7eurMw/edit?gid=15948134#gid=15948134"", ""Input!A1:B2000""),2,FALSE()))"),"un-supervised based model(s), approach + baseline model(s), topic modeling and Relink")</f>
        <v>un-supervised based model(s), approach + baseline model(s), topic modeling and Relink</v>
      </c>
    </row>
    <row r="544" hidden="1">
      <c r="A544" s="1" t="s">
        <v>1755</v>
      </c>
      <c r="B544" s="1">
        <v>7.0</v>
      </c>
      <c r="C544" s="1" t="s">
        <v>1768</v>
      </c>
      <c r="D544" s="1" t="s">
        <v>872</v>
      </c>
      <c r="E544" s="1" t="s">
        <v>1769</v>
      </c>
      <c r="F544" s="14" t="s">
        <v>1770</v>
      </c>
      <c r="G544" s="1" t="s">
        <v>39</v>
      </c>
      <c r="H544" s="15" t="s">
        <v>938</v>
      </c>
      <c r="J544" s="8" t="str">
        <f>IFERROR(__xludf.DUMMYFUNCTION("IF(ISBLANK(F544),""NA"", VLOOKUP(F544,IMPORTRANGE(""https://docs.google.com/spreadsheets/d/1EdCvim__xyxvoo9WoburDTzYylznTCOJBHcnu7eurMw/edit?gid=15948134#gid=15948134"", ""Purpose!A1:B1000""),2,FALSE()))"),"to learn and test model parameters")</f>
        <v>to learn and test model parameters</v>
      </c>
      <c r="K544" s="8" t="str">
        <f>IFERROR(__xludf.DUMMYFUNCTION("IF(ISBLANK(E544),""NA"", VLOOKUP(E544,IMPORTRANGE(""https://docs.google.com/spreadsheets/d/1EdCvim__xyxvoo9WoburDTzYylznTCOJBHcnu7eurMw/edit?gid=15948134#gid=15948134"", ""Technique!A1:B2000""),2,FALSE()))"),"cross validation")</f>
        <v>cross validation</v>
      </c>
      <c r="L544" s="8" t="str">
        <f>IFERROR(__xludf.DUMMYFUNCTION("IF(ISBLANK(D544),""NA"", VLOOKUP(D544,IMPORTRANGE(""https://docs.google.com/spreadsheets/d/1EdCvim__xyxvoo9WoburDTzYylznTCOJBHcnu7eurMw/edit?gid=15948134#gid=15948134"", ""Input!A1:B2000""),2,FALSE()))"),"code data (faulty code)")</f>
        <v>code data (faulty code)</v>
      </c>
    </row>
    <row r="545" hidden="1">
      <c r="A545" s="1" t="s">
        <v>1755</v>
      </c>
      <c r="B545" s="1">
        <v>5.0</v>
      </c>
      <c r="C545" s="1" t="s">
        <v>1771</v>
      </c>
      <c r="E545" s="1" t="s">
        <v>1772</v>
      </c>
      <c r="F545" s="14" t="s">
        <v>1773</v>
      </c>
      <c r="G545" s="1" t="s">
        <v>44</v>
      </c>
      <c r="H545" s="15" t="s">
        <v>938</v>
      </c>
      <c r="J545" s="8" t="str">
        <f>IFERROR(__xludf.DUMMYFUNCTION("IF(ISBLANK(F545),""NA"", VLOOKUP(F545,IMPORTRANGE(""https://docs.google.com/spreadsheets/d/1EdCvim__xyxvoo9WoburDTzYylznTCOJBHcnu7eurMw/edit?gid=15948134#gid=15948134"", ""Purpose!A1:B1000""),2,FALSE()))"),"to collect data, code data")</f>
        <v>to collect data, code data</v>
      </c>
      <c r="K545" s="8" t="str">
        <f>IFERROR(__xludf.DUMMYFUNCTION("IF(ISBLANK(E545),""NA"", VLOOKUP(E545,IMPORTRANGE(""https://docs.google.com/spreadsheets/d/1EdCvim__xyxvoo9WoburDTzYylznTCOJBHcnu7eurMw/edit?gid=15948134#gid=15948134"", ""Technique!A1:B2000""),2,FALSE()))"),"use existing datasets, benchmark datasets")</f>
        <v>use existing datasets, benchmark datasets</v>
      </c>
      <c r="L545" s="8" t="str">
        <f>IFERROR(__xludf.DUMMYFUNCTION("IF(ISBLANK(D545),""NA"", VLOOKUP(D545,IMPORTRANGE(""https://docs.google.com/spreadsheets/d/1EdCvim__xyxvoo9WoburDTzYylznTCOJBHcnu7eurMw/edit?gid=15948134#gid=15948134"", ""Input!A1:B2000""),2,FALSE()))"),"NA")</f>
        <v>NA</v>
      </c>
    </row>
    <row r="546" hidden="1">
      <c r="A546" s="1" t="s">
        <v>1774</v>
      </c>
      <c r="B546" s="1" t="s">
        <v>515</v>
      </c>
      <c r="C546" s="1" t="s">
        <v>515</v>
      </c>
      <c r="H546" s="10"/>
      <c r="J546" s="8" t="str">
        <f>IFERROR(__xludf.DUMMYFUNCTION("IF(ISBLANK(F546),""NA"", VLOOKUP(F546,IMPORTRANGE(""https://docs.google.com/spreadsheets/d/1EdCvim__xyxvoo9WoburDTzYylznTCOJBHcnu7eurMw/edit?gid=15948134#gid=15948134"", ""Purpose!A1:B1000""),2,FALSE()))"),"NA")</f>
        <v>NA</v>
      </c>
      <c r="K546" s="8" t="str">
        <f>IFERROR(__xludf.DUMMYFUNCTION("IF(ISBLANK(E546),""NA"", VLOOKUP(E546,IMPORTRANGE(""https://docs.google.com/spreadsheets/d/1EdCvim__xyxvoo9WoburDTzYylznTCOJBHcnu7eurMw/edit?gid=15948134#gid=15948134"", ""Technique!A1:B2000""),2,FALSE()))"),"NA")</f>
        <v>NA</v>
      </c>
      <c r="L546" s="8" t="str">
        <f>IFERROR(__xludf.DUMMYFUNCTION("IF(ISBLANK(D546),""NA"", VLOOKUP(D546,IMPORTRANGE(""https://docs.google.com/spreadsheets/d/1EdCvim__xyxvoo9WoburDTzYylznTCOJBHcnu7eurMw/edit?gid=15948134#gid=15948134"", ""Input!A1:B2000""),2,FALSE()))"),"NA")</f>
        <v>NA</v>
      </c>
    </row>
    <row r="547" hidden="1">
      <c r="A547" s="1" t="s">
        <v>1775</v>
      </c>
      <c r="B547" s="1">
        <v>2.0</v>
      </c>
      <c r="C547" s="1" t="s">
        <v>1776</v>
      </c>
      <c r="D547" s="1" t="s">
        <v>1777</v>
      </c>
      <c r="E547" s="16" t="s">
        <v>1778</v>
      </c>
      <c r="F547" s="14" t="s">
        <v>1779</v>
      </c>
      <c r="G547" s="1" t="s">
        <v>54</v>
      </c>
      <c r="H547" s="15" t="s">
        <v>1780</v>
      </c>
      <c r="J547" s="8" t="str">
        <f>IFERROR(__xludf.DUMMYFUNCTION("IF(ISBLANK(F547),""NA"", VLOOKUP(F547,IMPORTRANGE(""https://docs.google.com/spreadsheets/d/1EdCvim__xyxvoo9WoburDTzYylznTCOJBHcnu7eurMw/edit?gid=15948134#gid=15948134"", ""Purpose!A1:B1000""),2,FALSE()))"),"to train a model for classification tasks (i.e., classifying new data as similar or not to training data)")</f>
        <v>to train a model for classification tasks (i.e., classifying new data as similar or not to training data)</v>
      </c>
      <c r="K547" s="8" t="str">
        <f>IFERROR(__xludf.DUMMYFUNCTION("IF(ISBLANK(E547),""NA"", VLOOKUP(E547,IMPORTRANGE(""https://docs.google.com/spreadsheets/d/1EdCvim__xyxvoo9WoburDTzYylznTCOJBHcnu7eurMw/edit?gid=15948134#gid=15948134"", ""Technique!A1:B2000""),2,FALSE()))"),"use One-Class Support Vector Machine (OC-SVM)")</f>
        <v>use One-Class Support Vector Machine (OC-SVM)</v>
      </c>
      <c r="L547" s="8" t="str">
        <f>IFERROR(__xludf.DUMMYFUNCTION("IF(ISBLANK(D547),""NA"", VLOOKUP(D547,IMPORTRANGE(""https://docs.google.com/spreadsheets/d/1EdCvim__xyxvoo9WoburDTzYylznTCOJBHcnu7eurMw/edit?gid=15948134#gid=15948134"", ""Input!A1:B2000""),2,FALSE()))"),"data (training set), numeric features (normalized features that represent existance and usage of elements in code data), just positive class")</f>
        <v>data (training set), numeric features (normalized features that represent existance and usage of elements in code data), just positive class</v>
      </c>
    </row>
    <row r="548" hidden="1">
      <c r="A548" s="1" t="s">
        <v>1775</v>
      </c>
      <c r="B548" s="1">
        <v>3.0</v>
      </c>
      <c r="C548" s="1" t="s">
        <v>1776</v>
      </c>
      <c r="D548" s="1"/>
      <c r="E548" s="14" t="s">
        <v>1781</v>
      </c>
      <c r="F548" s="14" t="s">
        <v>98</v>
      </c>
      <c r="G548" s="1" t="s">
        <v>44</v>
      </c>
      <c r="H548" s="15" t="s">
        <v>1780</v>
      </c>
      <c r="J548" s="8" t="str">
        <f>IFERROR(__xludf.DUMMYFUNCTION("IF(ISBLANK(F548),""NA"", VLOOKUP(F548,IMPORTRANGE(""https://docs.google.com/spreadsheets/d/1EdCvim__xyxvoo9WoburDTzYylznTCOJBHcnu7eurMw/edit?gid=15948134#gid=15948134"", ""Purpose!A1:B1000""),2,FALSE()))"),"to collect data")</f>
        <v>to collect data</v>
      </c>
      <c r="K548" s="8" t="str">
        <f>IFERROR(__xludf.DUMMYFUNCTION("IF(ISBLANK(E548),""NA"", VLOOKUP(E548,IMPORTRANGE(""https://docs.google.com/spreadsheets/d/1EdCvim__xyxvoo9WoburDTzYylznTCOJBHcnu7eurMw/edit?gid=15948134#gid=15948134"", ""Technique!A1:B2000""),2,FALSE()))"),"use existing datasets")</f>
        <v>use existing datasets</v>
      </c>
      <c r="L548" s="8" t="str">
        <f>IFERROR(__xludf.DUMMYFUNCTION("IF(ISBLANK(D548),""NA"", VLOOKUP(D548,IMPORTRANGE(""https://docs.google.com/spreadsheets/d/1EdCvim__xyxvoo9WoburDTzYylznTCOJBHcnu7eurMw/edit?gid=15948134#gid=15948134"", ""Input!A1:B2000""),2,FALSE()))"),"NA")</f>
        <v>NA</v>
      </c>
    </row>
    <row r="549" hidden="1">
      <c r="A549" s="1" t="s">
        <v>1775</v>
      </c>
      <c r="B549" s="1" t="s">
        <v>1161</v>
      </c>
      <c r="C549" s="1" t="s">
        <v>1782</v>
      </c>
      <c r="D549" s="1"/>
      <c r="E549" s="14" t="s">
        <v>1783</v>
      </c>
      <c r="F549" s="14" t="s">
        <v>1748</v>
      </c>
      <c r="G549" s="1" t="s">
        <v>39</v>
      </c>
      <c r="H549" s="15" t="s">
        <v>1780</v>
      </c>
      <c r="J549" s="8" t="str">
        <f>IFERROR(__xludf.DUMMYFUNCTION("IF(ISBLANK(F549),""NA"", VLOOKUP(F549,IMPORTRANGE(""https://docs.google.com/spreadsheets/d/1EdCvim__xyxvoo9WoburDTzYylznTCOJBHcnu7eurMw/edit?gid=15948134#gid=15948134"", ""Purpose!A1:B1000""),2,FALSE()))"),"to evaluate model(s) functionally (e.g., accuracy) against others")</f>
        <v>to evaluate model(s) functionally (e.g., accuracy) against others</v>
      </c>
      <c r="K549" s="8" t="str">
        <f>IFERROR(__xludf.DUMMYFUNCTION("IF(ISBLANK(E549),""NA"", VLOOKUP(E549,IMPORTRANGE(""https://docs.google.com/spreadsheets/d/1EdCvim__xyxvoo9WoburDTzYylznTCOJBHcnu7eurMw/edit?gid=15948134#gid=15948134"", ""Technique!A1:B2000""),2,FALSE()))"),"use existing datasets, benchmark datasets")</f>
        <v>use existing datasets, benchmark datasets</v>
      </c>
      <c r="L549" s="8" t="str">
        <f>IFERROR(__xludf.DUMMYFUNCTION("IF(ISBLANK(D549),""NA"", VLOOKUP(D549,IMPORTRANGE(""https://docs.google.com/spreadsheets/d/1EdCvim__xyxvoo9WoburDTzYylznTCOJBHcnu7eurMw/edit?gid=15948134#gid=15948134"", ""Input!A1:B2000""),2,FALSE()))"),"NA")</f>
        <v>NA</v>
      </c>
    </row>
    <row r="550" hidden="1">
      <c r="A550" s="1" t="s">
        <v>1775</v>
      </c>
      <c r="B550" s="1" t="s">
        <v>1165</v>
      </c>
      <c r="C550" s="1" t="s">
        <v>1784</v>
      </c>
      <c r="D550" s="1" t="s">
        <v>1785</v>
      </c>
      <c r="E550" s="14" t="s">
        <v>1786</v>
      </c>
      <c r="F550" s="14" t="s">
        <v>434</v>
      </c>
      <c r="G550" s="1" t="s">
        <v>39</v>
      </c>
      <c r="H550" s="15" t="s">
        <v>1780</v>
      </c>
      <c r="J550" s="8" t="str">
        <f>IFERROR(__xludf.DUMMYFUNCTION("IF(ISBLANK(F550),""NA"", VLOOKUP(F550,IMPORTRANGE(""https://docs.google.com/spreadsheets/d/1EdCvim__xyxvoo9WoburDTzYylznTCOJBHcnu7eurMw/edit?gid=15948134#gid=15948134"", ""Purpose!A1:B1000""),2,FALSE()))"),"to evaluate model(s) functionally (e.g., accuracy)")</f>
        <v>to evaluate model(s) functionally (e.g., accuracy)</v>
      </c>
      <c r="K550" s="8" t="str">
        <f>IFERROR(__xludf.DUMMYFUNCTION("IF(ISBLANK(E550),""NA"", VLOOKUP(E550,IMPORTRANGE(""https://docs.google.com/spreadsheets/d/1EdCvim__xyxvoo9WoburDTzYylznTCOJBHcnu7eurMw/edit?gid=15948134#gid=15948134"", ""Technique!A1:B2000""),2,FALSE()))"),"cross validation")</f>
        <v>cross validation</v>
      </c>
      <c r="L550" s="8" t="str">
        <f>IFERROR(__xludf.DUMMYFUNCTION("IF(ISBLANK(D550),""NA"", VLOOKUP(D550,IMPORTRANGE(""https://docs.google.com/spreadsheets/d/1EdCvim__xyxvoo9WoburDTzYylznTCOJBHcnu7eurMw/edit?gid=15948134#gid=15948134"", ""Input!A1:B2000""),2,FALSE()))"),"data (test set), numeric features (normalized features that represent existance and usage of elements in code data)")</f>
        <v>data (test set), numeric features (normalized features that represent existance and usage of elements in code data)</v>
      </c>
    </row>
    <row r="551" hidden="1">
      <c r="A551" s="1" t="s">
        <v>1775</v>
      </c>
      <c r="B551" s="1" t="s">
        <v>1345</v>
      </c>
      <c r="C551" s="1" t="s">
        <v>1787</v>
      </c>
      <c r="D551" s="1" t="s">
        <v>1788</v>
      </c>
      <c r="E551" s="1" t="s">
        <v>1789</v>
      </c>
      <c r="F551" s="14" t="s">
        <v>434</v>
      </c>
      <c r="G551" s="1" t="s">
        <v>39</v>
      </c>
      <c r="H551" s="15" t="s">
        <v>1780</v>
      </c>
      <c r="J551" s="8" t="str">
        <f>IFERROR(__xludf.DUMMYFUNCTION("IF(ISBLANK(F551),""NA"", VLOOKUP(F551,IMPORTRANGE(""https://docs.google.com/spreadsheets/d/1EdCvim__xyxvoo9WoburDTzYylznTCOJBHcnu7eurMw/edit?gid=15948134#gid=15948134"", ""Purpose!A1:B1000""),2,FALSE()))"),"to evaluate model(s) functionally (e.g., accuracy)")</f>
        <v>to evaluate model(s) functionally (e.g., accuracy)</v>
      </c>
      <c r="K551" s="8" t="str">
        <f>IFERROR(__xludf.DUMMYFUNCTION("IF(ISBLANK(E551),""NA"", VLOOKUP(E551,IMPORTRANGE(""https://docs.google.com/spreadsheets/d/1EdCvim__xyxvoo9WoburDTzYylznTCOJBHcnu7eurMw/edit?gid=15948134#gid=15948134"", ""Technique!A1:B2000""),2,FALSE()))"),"compare with baseline model(s), baselines shallow learning (C-SVM)")</f>
        <v>compare with baseline model(s), baselines shallow learning (C-SVM)</v>
      </c>
      <c r="L551" s="8" t="str">
        <f>IFERROR(__xludf.DUMMYFUNCTION("IF(ISBLANK(D551),""NA"", VLOOKUP(D551,IMPORTRANGE(""https://docs.google.com/spreadsheets/d/1EdCvim__xyxvoo9WoburDTzYylznTCOJBHcnu7eurMw/edit?gid=15948134#gid=15948134"", ""Input!A1:B2000""),2,FALSE()))"),"data + model(s)")</f>
        <v>data + model(s)</v>
      </c>
    </row>
    <row r="552" hidden="1">
      <c r="A552" s="1" t="s">
        <v>1775</v>
      </c>
      <c r="B552" s="1" t="s">
        <v>1354</v>
      </c>
      <c r="C552" s="1" t="s">
        <v>1790</v>
      </c>
      <c r="D552" s="1" t="s">
        <v>1785</v>
      </c>
      <c r="E552" s="14" t="s">
        <v>1791</v>
      </c>
      <c r="F552" s="14" t="s">
        <v>1792</v>
      </c>
      <c r="G552" s="1" t="s">
        <v>39</v>
      </c>
      <c r="H552" s="15" t="s">
        <v>1780</v>
      </c>
      <c r="J552" s="8" t="str">
        <f>IFERROR(__xludf.DUMMYFUNCTION("IF(ISBLANK(F552),""NA"", VLOOKUP(F552,IMPORTRANGE(""https://docs.google.com/spreadsheets/d/1EdCvim__xyxvoo9WoburDTzYylznTCOJBHcnu7eurMw/edit?gid=15948134#gid=15948134"", ""Purpose!A1:B1000""),2,FALSE()))"),"to interpret the model")</f>
        <v>to interpret the model</v>
      </c>
      <c r="K552" s="8" t="str">
        <f>IFERROR(__xludf.DUMMYFUNCTION("IF(ISBLANK(E552),""NA"", VLOOKUP(E552,IMPORTRANGE(""https://docs.google.com/spreadsheets/d/1EdCvim__xyxvoo9WoburDTzYylznTCOJBHcnu7eurMw/edit?gid=15948134#gid=15948134"", ""Technique!A1:B2000""),2,FALSE()))"),"feature importance with information gain")</f>
        <v>feature importance with information gain</v>
      </c>
      <c r="L552" s="8" t="str">
        <f>IFERROR(__xludf.DUMMYFUNCTION("IF(ISBLANK(D552),""NA"", VLOOKUP(D552,IMPORTRANGE(""https://docs.google.com/spreadsheets/d/1EdCvim__xyxvoo9WoburDTzYylznTCOJBHcnu7eurMw/edit?gid=15948134#gid=15948134"", ""Input!A1:B2000""),2,FALSE()))"),"data (test set), numeric features (normalized features that represent existance and usage of elements in code data)")</f>
        <v>data (test set), numeric features (normalized features that represent existance and usage of elements in code data)</v>
      </c>
    </row>
    <row r="553" hidden="1">
      <c r="A553" s="1" t="s">
        <v>1775</v>
      </c>
      <c r="B553" s="1">
        <v>8.0</v>
      </c>
      <c r="C553" s="1" t="s">
        <v>1793</v>
      </c>
      <c r="D553" s="1" t="s">
        <v>1794</v>
      </c>
      <c r="E553" s="14" t="s">
        <v>1795</v>
      </c>
      <c r="G553" s="1" t="s">
        <v>14</v>
      </c>
      <c r="H553" s="15" t="s">
        <v>1780</v>
      </c>
      <c r="J553" s="8" t="str">
        <f>IFERROR(__xludf.DUMMYFUNCTION("IF(ISBLANK(F553),""NA"", VLOOKUP(F553,IMPORTRANGE(""https://docs.google.com/spreadsheets/d/1EdCvim__xyxvoo9WoburDTzYylznTCOJBHcnu7eurMw/edit?gid=15948134#gid=15948134"", ""Purpose!A1:B1000""),2,FALSE()))"),"NA")</f>
        <v>NA</v>
      </c>
      <c r="K553" s="8" t="str">
        <f>IFERROR(__xludf.DUMMYFUNCTION("IF(ISBLANK(E553),""NA"", VLOOKUP(E553,IMPORTRANGE(""https://docs.google.com/spreadsheets/d/1EdCvim__xyxvoo9WoburDTzYylznTCOJBHcnu7eurMw/edit?gid=15948134#gid=15948134"", ""Technique!A1:B2000""),2,FALSE()))"),"use normalization, between 0 and 1")</f>
        <v>use normalization, between 0 and 1</v>
      </c>
      <c r="L553" s="8" t="str">
        <f>IFERROR(__xludf.DUMMYFUNCTION("IF(ISBLANK(D553),""NA"", VLOOKUP(D553,IMPORTRANGE(""https://docs.google.com/spreadsheets/d/1EdCvim__xyxvoo9WoburDTzYylznTCOJBHcnu7eurMw/edit?gid=15948134#gid=15948134"", ""Input!A1:B2000""),2,FALSE()))"),"numeric features (syntactic and semantic code features)")</f>
        <v>numeric features (syntactic and semantic code features)</v>
      </c>
    </row>
    <row r="554" hidden="1">
      <c r="A554" s="1" t="s">
        <v>1775</v>
      </c>
      <c r="B554" s="1">
        <v>13.0</v>
      </c>
      <c r="C554" s="1" t="s">
        <v>1796</v>
      </c>
      <c r="D554" s="1" t="s">
        <v>1654</v>
      </c>
      <c r="E554" s="14" t="s">
        <v>1797</v>
      </c>
      <c r="F554" s="14" t="s">
        <v>1656</v>
      </c>
      <c r="G554" s="1" t="s">
        <v>39</v>
      </c>
      <c r="H554" s="15" t="s">
        <v>1780</v>
      </c>
      <c r="J554" s="8" t="str">
        <f>IFERROR(__xludf.DUMMYFUNCTION("IF(ISBLANK(F554),""NA"", VLOOKUP(F554,IMPORTRANGE(""https://docs.google.com/spreadsheets/d/1EdCvim__xyxvoo9WoburDTzYylznTCOJBHcnu7eurMw/edit?gid=15948134#gid=15948134"", ""Purpose!A1:B1000""),2,FALSE()))"),"to evaluate model(s) non-functional attributes (i.e., execution time)")</f>
        <v>to evaluate model(s) non-functional attributes (i.e., execution time)</v>
      </c>
      <c r="K554" s="8" t="str">
        <f>IFERROR(__xludf.DUMMYFUNCTION("IF(ISBLANK(E554),""NA"", VLOOKUP(E554,IMPORTRANGE(""https://docs.google.com/spreadsheets/d/1EdCvim__xyxvoo9WoburDTzYylznTCOJBHcnu7eurMw/edit?gid=15948134#gid=15948134"", ""Technique!A1:B2000""),2,FALSE()))"),"compute execution time")</f>
        <v>compute execution time</v>
      </c>
      <c r="L554" s="8" t="str">
        <f>IFERROR(__xludf.DUMMYFUNCTION("IF(ISBLANK(D554),""NA"", VLOOKUP(D554,IMPORTRANGE(""https://docs.google.com/spreadsheets/d/1EdCvim__xyxvoo9WoburDTzYylznTCOJBHcnu7eurMw/edit?gid=15948134#gid=15948134"", ""Input!A1:B2000""),2,FALSE()))"),"computed run time of the model(s)")</f>
        <v>computed run time of the model(s)</v>
      </c>
    </row>
    <row r="555" hidden="1">
      <c r="A555" s="1" t="s">
        <v>1798</v>
      </c>
      <c r="B555" s="1" t="s">
        <v>1363</v>
      </c>
      <c r="C555" s="1" t="s">
        <v>1799</v>
      </c>
      <c r="D555" s="1" t="s">
        <v>1800</v>
      </c>
      <c r="E555" s="16" t="s">
        <v>1801</v>
      </c>
      <c r="F555" s="16" t="s">
        <v>1802</v>
      </c>
      <c r="G555" s="1" t="s">
        <v>54</v>
      </c>
      <c r="H555" s="15" t="s">
        <v>577</v>
      </c>
      <c r="J555" s="8" t="str">
        <f>IFERROR(__xludf.DUMMYFUNCTION("IF(ISBLANK(F555),""NA"", VLOOKUP(F555,IMPORTRANGE(""https://docs.google.com/spreadsheets/d/1EdCvim__xyxvoo9WoburDTzYylznTCOJBHcnu7eurMw/edit?gid=15948134#gid=15948134"", ""Purpose!A1:B1000""),2,FALSE()))"),"to identify patterns of false alarm tests")</f>
        <v>to identify patterns of false alarm tests</v>
      </c>
      <c r="K555" s="8" t="str">
        <f>IFERROR(__xludf.DUMMYFUNCTION("IF(ISBLANK(E555),""NA"", VLOOKUP(E555,IMPORTRANGE(""https://docs.google.com/spreadsheets/d/1EdCvim__xyxvoo9WoburDTzYylznTCOJBHcnu7eurMw/edit?gid=15948134#gid=15948134"", ""Technique!A1:B2000""),2,FALSE()))"),"use association rule mining")</f>
        <v>use association rule mining</v>
      </c>
      <c r="L555" s="8" t="str">
        <f>IFERROR(__xludf.DUMMYFUNCTION("IF(ISBLANK(D555),""NA"", VLOOKUP(D555,IMPORTRANGE(""https://docs.google.com/spreadsheets/d/1EdCvim__xyxvoo9WoburDTzYylznTCOJBHcnu7eurMw/edit?gid=15948134#gid=15948134"", ""Input!A1:B2000""),2,FALSE()))"),"textual data (steps for testing) + boolean data (fail test or not)")</f>
        <v>textual data (steps for testing) + boolean data (fail test or not)</v>
      </c>
    </row>
    <row r="556" hidden="1">
      <c r="A556" s="1" t="s">
        <v>1798</v>
      </c>
      <c r="B556" s="1" t="s">
        <v>1803</v>
      </c>
      <c r="C556" s="1" t="s">
        <v>1804</v>
      </c>
      <c r="D556" s="1" t="s">
        <v>1801</v>
      </c>
      <c r="E556" s="16" t="s">
        <v>1805</v>
      </c>
      <c r="F556" s="14" t="s">
        <v>1806</v>
      </c>
      <c r="G556" s="1" t="s">
        <v>54</v>
      </c>
      <c r="H556" s="15" t="s">
        <v>577</v>
      </c>
      <c r="J556" s="8" t="str">
        <f>IFERROR(__xludf.DUMMYFUNCTION("IF(ISBLANK(F556),""NA"", VLOOKUP(F556,IMPORTRANGE(""https://docs.google.com/spreadsheets/d/1EdCvim__xyxvoo9WoburDTzYylznTCOJBHcnu7eurMw/edit?gid=15948134#gid=15948134"", ""Purpose!A1:B1000""),2,FALSE()))"),"to select association rules")</f>
        <v>to select association rules</v>
      </c>
      <c r="K556" s="8" t="str">
        <f>IFERROR(__xludf.DUMMYFUNCTION("IF(ISBLANK(E556),""NA"", VLOOKUP(E556,IMPORTRANGE(""https://docs.google.com/spreadsheets/d/1EdCvim__xyxvoo9WoburDTzYylznTCOJBHcnu7eurMw/edit?gid=15948134#gid=15948134"", ""Technique!A1:B2000""),2,FALSE()))"),"set a minimum threshold for confidence")</f>
        <v>set a minimum threshold for confidence</v>
      </c>
      <c r="L556" s="8" t="str">
        <f>IFERROR(__xludf.DUMMYFUNCTION("IF(ISBLANK(D556),""NA"", VLOOKUP(D556,IMPORTRANGE(""https://docs.google.com/spreadsheets/d/1EdCvim__xyxvoo9WoburDTzYylznTCOJBHcnu7eurMw/edit?gid=15948134#gid=15948134"", ""Input!A1:B2000""),2,FALSE()))"),"association rules")</f>
        <v>association rules</v>
      </c>
    </row>
    <row r="557" hidden="1">
      <c r="A557" s="1" t="s">
        <v>1798</v>
      </c>
      <c r="B557" s="1" t="s">
        <v>1114</v>
      </c>
      <c r="C557" s="1" t="s">
        <v>1804</v>
      </c>
      <c r="D557" s="1" t="s">
        <v>1801</v>
      </c>
      <c r="E557" s="16" t="s">
        <v>1807</v>
      </c>
      <c r="F557" s="14" t="s">
        <v>1806</v>
      </c>
      <c r="G557" s="1" t="s">
        <v>54</v>
      </c>
      <c r="H557" s="15" t="s">
        <v>577</v>
      </c>
      <c r="J557" s="8" t="str">
        <f>IFERROR(__xludf.DUMMYFUNCTION("IF(ISBLANK(F557),""NA"", VLOOKUP(F557,IMPORTRANGE(""https://docs.google.com/spreadsheets/d/1EdCvim__xyxvoo9WoburDTzYylznTCOJBHcnu7eurMw/edit?gid=15948134#gid=15948134"", ""Purpose!A1:B1000""),2,FALSE()))"),"to select association rules")</f>
        <v>to select association rules</v>
      </c>
      <c r="K557" s="8" t="str">
        <f>IFERROR(__xludf.DUMMYFUNCTION("IF(ISBLANK(E557),""NA"", VLOOKUP(E557,IMPORTRANGE(""https://docs.google.com/spreadsheets/d/1EdCvim__xyxvoo9WoburDTzYylznTCOJBHcnu7eurMw/edit?gid=15948134#gid=15948134"", ""Technique!A1:B2000""),2,FALSE()))"),"set a minimum threshold for support value")</f>
        <v>set a minimum threshold for support value</v>
      </c>
      <c r="L557" s="8" t="str">
        <f>IFERROR(__xludf.DUMMYFUNCTION("IF(ISBLANK(D557),""NA"", VLOOKUP(D557,IMPORTRANGE(""https://docs.google.com/spreadsheets/d/1EdCvim__xyxvoo9WoburDTzYylznTCOJBHcnu7eurMw/edit?gid=15948134#gid=15948134"", ""Input!A1:B2000""),2,FALSE()))"),"association rules")</f>
        <v>association rules</v>
      </c>
    </row>
    <row r="558" hidden="1">
      <c r="A558" s="1" t="s">
        <v>1798</v>
      </c>
      <c r="B558" s="1" t="s">
        <v>1808</v>
      </c>
      <c r="C558" s="1" t="s">
        <v>1809</v>
      </c>
      <c r="D558" s="1" t="s">
        <v>1056</v>
      </c>
      <c r="E558" s="14" t="s">
        <v>1810</v>
      </c>
      <c r="F558" s="9" t="s">
        <v>434</v>
      </c>
      <c r="G558" s="1" t="s">
        <v>39</v>
      </c>
      <c r="H558" s="15" t="s">
        <v>577</v>
      </c>
      <c r="J558" s="8" t="str">
        <f>IFERROR(__xludf.DUMMYFUNCTION("IF(ISBLANK(F558),""NA"", VLOOKUP(F558,IMPORTRANGE(""https://docs.google.com/spreadsheets/d/1EdCvim__xyxvoo9WoburDTzYylznTCOJBHcnu7eurMw/edit?gid=15948134#gid=15948134"", ""Purpose!A1:B1000""),2,FALSE()))"),"to evaluate model(s) functionally (e.g., accuracy)")</f>
        <v>to evaluate model(s) functionally (e.g., accuracy)</v>
      </c>
      <c r="K558" s="8" t="str">
        <f>IFERROR(__xludf.DUMMYFUNCTION("IF(ISBLANK(E558),""NA"", VLOOKUP(E558,IMPORTRANGE(""https://docs.google.com/spreadsheets/d/1EdCvim__xyxvoo9WoburDTzYylznTCOJBHcnu7eurMw/edit?gid=15948134#gid=15948134"", ""Technique!A1:B2000""),2,FALSE()))"),"compute classical metrics (i.e., Precision, Recall) + confusion marix")</f>
        <v>compute classical metrics (i.e., Precision, Recall) + confusion marix</v>
      </c>
      <c r="L558" s="8" t="str">
        <f>IFERROR(__xludf.DUMMYFUNCTION("IF(ISBLANK(D558),""NA"", VLOOKUP(D558,IMPORTRANGE(""https://docs.google.com/spreadsheets/d/1EdCvim__xyxvoo9WoburDTzYylznTCOJBHcnu7eurMw/edit?gid=15948134#gid=15948134"", ""Input!A1:B2000""),2,FALSE()))"),"data (test set) + model(s)")</f>
        <v>data (test set) + model(s)</v>
      </c>
    </row>
    <row r="559" hidden="1">
      <c r="A559" s="1" t="s">
        <v>1798</v>
      </c>
      <c r="B559" s="1">
        <v>10.0</v>
      </c>
      <c r="C559" s="1" t="s">
        <v>1811</v>
      </c>
      <c r="E559" s="16" t="s">
        <v>1812</v>
      </c>
      <c r="F559" s="14" t="s">
        <v>1813</v>
      </c>
      <c r="G559" s="1" t="s">
        <v>54</v>
      </c>
      <c r="H559" s="15" t="s">
        <v>577</v>
      </c>
      <c r="J559" s="8" t="str">
        <f>IFERROR(__xludf.DUMMYFUNCTION("IF(ISBLANK(F559),""NA"", VLOOKUP(F559,IMPORTRANGE(""https://docs.google.com/spreadsheets/d/1EdCvim__xyxvoo9WoburDTzYylznTCOJBHcnu7eurMw/edit?gid=15948134#gid=15948134"", ""Purpose!A1:B1000""),2,FALSE()))"),"to resemble a real-world scenarios during the experiments")</f>
        <v>to resemble a real-world scenarios during the experiments</v>
      </c>
      <c r="K559" s="8" t="str">
        <f>IFERROR(__xludf.DUMMYFUNCTION("IF(ISBLANK(E559),""NA"", VLOOKUP(E559,IMPORTRANGE(""https://docs.google.com/spreadsheets/d/1EdCvim__xyxvoo9WoburDTzYylznTCOJBHcnu7eurMw/edit?gid=15948134#gid=15948134"", ""Technique!A1:B2000""),2,FALSE()))"),"use incremental learning")</f>
        <v>use incremental learning</v>
      </c>
      <c r="L559" s="8" t="str">
        <f>IFERROR(__xludf.DUMMYFUNCTION("IF(ISBLANK(D559),""NA"", VLOOKUP(D559,IMPORTRANGE(""https://docs.google.com/spreadsheets/d/1EdCvim__xyxvoo9WoburDTzYylznTCOJBHcnu7eurMw/edit?gid=15948134#gid=15948134"", ""Input!A1:B2000""),2,FALSE()))"),"NA")</f>
        <v>NA</v>
      </c>
    </row>
    <row r="560" hidden="1">
      <c r="A560" s="1" t="s">
        <v>1798</v>
      </c>
      <c r="B560" s="1">
        <v>11.0</v>
      </c>
      <c r="C560" s="1" t="s">
        <v>1814</v>
      </c>
      <c r="D560" s="1" t="s">
        <v>1801</v>
      </c>
      <c r="E560" s="16" t="s">
        <v>1815</v>
      </c>
      <c r="F560" s="14" t="s">
        <v>1816</v>
      </c>
      <c r="G560" s="1" t="s">
        <v>20</v>
      </c>
      <c r="H560" s="15" t="s">
        <v>577</v>
      </c>
      <c r="J560" s="8" t="str">
        <f>IFERROR(__xludf.DUMMYFUNCTION("IF(ISBLANK(F560),""NA"", VLOOKUP(F560,IMPORTRANGE(""https://docs.google.com/spreadsheets/d/1EdCvim__xyxvoo9WoburDTzYylznTCOJBHcnu7eurMw/edit?gid=15948134#gid=15948134"", ""Purpose!A1:B1000""),2,FALSE()))"),"to remove the noise in data")</f>
        <v>to remove the noise in data</v>
      </c>
      <c r="K560" s="8" t="str">
        <f>IFERROR(__xludf.DUMMYFUNCTION("IF(ISBLANK(E560),""NA"", VLOOKUP(E560,IMPORTRANGE(""https://docs.google.com/spreadsheets/d/1EdCvim__xyxvoo9WoburDTzYylznTCOJBHcnu7eurMw/edit?gid=15948134#gid=15948134"", ""Technique!A1:B2000""),2,FALSE()))"),"identify contradicting association rules")</f>
        <v>identify contradicting association rules</v>
      </c>
      <c r="L560" s="8" t="str">
        <f>IFERROR(__xludf.DUMMYFUNCTION("IF(ISBLANK(D560),""NA"", VLOOKUP(D560,IMPORTRANGE(""https://docs.google.com/spreadsheets/d/1EdCvim__xyxvoo9WoburDTzYylznTCOJBHcnu7eurMw/edit?gid=15948134#gid=15948134"", ""Input!A1:B2000""),2,FALSE()))"),"association rules")</f>
        <v>association rules</v>
      </c>
    </row>
    <row r="561" hidden="1">
      <c r="A561" s="1" t="s">
        <v>1798</v>
      </c>
      <c r="B561" s="1">
        <v>5.0</v>
      </c>
      <c r="C561" s="1" t="s">
        <v>1817</v>
      </c>
      <c r="D561" s="1" t="s">
        <v>1801</v>
      </c>
      <c r="E561" s="14" t="s">
        <v>1818</v>
      </c>
      <c r="F561" s="14" t="s">
        <v>1819</v>
      </c>
      <c r="G561" s="1" t="s">
        <v>39</v>
      </c>
      <c r="H561" s="15" t="s">
        <v>577</v>
      </c>
      <c r="J561" s="8" t="str">
        <f>IFERROR(__xludf.DUMMYFUNCTION("IF(ISBLANK(F561),""NA"", VLOOKUP(F561,IMPORTRANGE(""https://docs.google.com/spreadsheets/d/1EdCvim__xyxvoo9WoburDTzYylznTCOJBHcnu7eurMw/edit?gid=15948134#gid=15948134"", ""Purpose!A1:B1000""),2,FALSE()))"),"to evaluate quality of associations")</f>
        <v>to evaluate quality of associations</v>
      </c>
      <c r="K561" s="8" t="str">
        <f>IFERROR(__xludf.DUMMYFUNCTION("IF(ISBLANK(E561),""NA"", VLOOKUP(E561,IMPORTRANGE(""https://docs.google.com/spreadsheets/d/1EdCvim__xyxvoo9WoburDTzYylznTCOJBHcnu7eurMw/edit?gid=15948134#gid=15948134"", ""Technique!A1:B2000""),2,FALSE()))"),"compute number of association rules and their lifetime")</f>
        <v>compute number of association rules and their lifetime</v>
      </c>
      <c r="L561" s="8" t="str">
        <f>IFERROR(__xludf.DUMMYFUNCTION("IF(ISBLANK(D561),""NA"", VLOOKUP(D561,IMPORTRANGE(""https://docs.google.com/spreadsheets/d/1EdCvim__xyxvoo9WoburDTzYylznTCOJBHcnu7eurMw/edit?gid=15948134#gid=15948134"", ""Input!A1:B2000""),2,FALSE()))"),"association rules")</f>
        <v>association rules</v>
      </c>
    </row>
    <row r="562" hidden="1">
      <c r="A562" s="1" t="s">
        <v>1798</v>
      </c>
      <c r="B562" s="1">
        <v>13.0</v>
      </c>
      <c r="C562" s="1" t="s">
        <v>1820</v>
      </c>
      <c r="E562" s="14" t="s">
        <v>1821</v>
      </c>
      <c r="F562" s="14" t="s">
        <v>1385</v>
      </c>
      <c r="G562" s="1" t="s">
        <v>39</v>
      </c>
      <c r="H562" s="15" t="s">
        <v>577</v>
      </c>
      <c r="J562" s="8" t="str">
        <f>IFERROR(__xludf.DUMMYFUNCTION("IF(ISBLANK(F562),""NA"", VLOOKUP(F562,IMPORTRANGE(""https://docs.google.com/spreadsheets/d/1EdCvim__xyxvoo9WoburDTzYylznTCOJBHcnu7eurMw/edit?gid=15948134#gid=15948134"", ""Purpose!A1:B1000""),2,FALSE()))"),"to evaluate model(s) functionally (e.g., accuracy)")</f>
        <v>to evaluate model(s) functionally (e.g., accuracy)</v>
      </c>
      <c r="K562" s="8" t="str">
        <f>IFERROR(__xludf.DUMMYFUNCTION("IF(ISBLANK(E562),""NA"", VLOOKUP(E562,IMPORTRANGE(""https://docs.google.com/spreadsheets/d/1EdCvim__xyxvoo9WoburDTzYylznTCOJBHcnu7eurMw/edit?gid=15948134#gid=15948134"", ""Technique!A1:B2000""),2,FALSE()))"),"plot results (i.e., recall and precision over time)")</f>
        <v>plot results (i.e., recall and precision over time)</v>
      </c>
      <c r="L562" s="8" t="str">
        <f>IFERROR(__xludf.DUMMYFUNCTION("IF(ISBLANK(D562),""NA"", VLOOKUP(D562,IMPORTRANGE(""https://docs.google.com/spreadsheets/d/1EdCvim__xyxvoo9WoburDTzYylznTCOJBHcnu7eurMw/edit?gid=15948134#gid=15948134"", ""Input!A1:B2000""),2,FALSE()))"),"NA")</f>
        <v>NA</v>
      </c>
    </row>
    <row r="563" hidden="1">
      <c r="A563" s="1" t="s">
        <v>1798</v>
      </c>
      <c r="B563" s="1">
        <v>6.0</v>
      </c>
      <c r="C563" s="1" t="s">
        <v>1822</v>
      </c>
      <c r="D563" s="1" t="s">
        <v>1801</v>
      </c>
      <c r="E563" s="14" t="s">
        <v>1823</v>
      </c>
      <c r="G563" s="1" t="s">
        <v>506</v>
      </c>
      <c r="H563" s="15" t="s">
        <v>577</v>
      </c>
      <c r="I563" s="1" t="s">
        <v>1064</v>
      </c>
      <c r="J563" s="8" t="str">
        <f>IFERROR(__xludf.DUMMYFUNCTION("IF(ISBLANK(F563),""NA"", VLOOKUP(F563,IMPORTRANGE(""https://docs.google.com/spreadsheets/d/1EdCvim__xyxvoo9WoburDTzYylznTCOJBHcnu7eurMw/edit?gid=15948134#gid=15948134"", ""Purpose!A1:B1000""),2,FALSE()))"),"NA")</f>
        <v>NA</v>
      </c>
      <c r="K563" s="8" t="str">
        <f>IFERROR(__xludf.DUMMYFUNCTION("IF(ISBLANK(E563),""NA"", VLOOKUP(E563,IMPORTRANGE(""https://docs.google.com/spreadsheets/d/1EdCvim__xyxvoo9WoburDTzYylznTCOJBHcnu7eurMw/edit?gid=15948134#gid=15948134"", ""Technique!A1:B2000""),2,FALSE()))"),"#N/A")</f>
        <v>#N/A</v>
      </c>
      <c r="L563" s="8" t="str">
        <f>IFERROR(__xludf.DUMMYFUNCTION("IF(ISBLANK(D563),""NA"", VLOOKUP(D563,IMPORTRANGE(""https://docs.google.com/spreadsheets/d/1EdCvim__xyxvoo9WoburDTzYylznTCOJBHcnu7eurMw/edit?gid=15948134#gid=15948134"", ""Input!A1:B2000""),2,FALSE()))"),"association rules")</f>
        <v>association rules</v>
      </c>
    </row>
    <row r="564" hidden="1">
      <c r="A564" s="1" t="s">
        <v>1824</v>
      </c>
      <c r="B564" s="1">
        <v>1.0</v>
      </c>
      <c r="C564" s="1" t="s">
        <v>1752</v>
      </c>
      <c r="E564" s="14" t="s">
        <v>1825</v>
      </c>
      <c r="F564" s="14" t="s">
        <v>98</v>
      </c>
      <c r="G564" s="1" t="s">
        <v>44</v>
      </c>
      <c r="H564" s="15" t="s">
        <v>1826</v>
      </c>
      <c r="J564" s="8" t="str">
        <f>IFERROR(__xludf.DUMMYFUNCTION("IF(ISBLANK(F564),""NA"", VLOOKUP(F564,IMPORTRANGE(""https://docs.google.com/spreadsheets/d/1EdCvim__xyxvoo9WoburDTzYylznTCOJBHcnu7eurMw/edit?gid=15948134#gid=15948134"", ""Purpose!A1:B1000""),2,FALSE()))"),"to collect data")</f>
        <v>to collect data</v>
      </c>
      <c r="K564" s="8" t="str">
        <f>IFERROR(__xludf.DUMMYFUNCTION("IF(ISBLANK(E564),""NA"", VLOOKUP(E564,IMPORTRANGE(""https://docs.google.com/spreadsheets/d/1EdCvim__xyxvoo9WoburDTzYylznTCOJBHcnu7eurMw/edit?gid=15948134#gid=15948134"", ""Technique!A1:B2000""),2,FALSE()))"),"collect own data from open-source projects")</f>
        <v>collect own data from open-source projects</v>
      </c>
      <c r="L564" s="8" t="str">
        <f>IFERROR(__xludf.DUMMYFUNCTION("IF(ISBLANK(D564),""NA"", VLOOKUP(D564,IMPORTRANGE(""https://docs.google.com/spreadsheets/d/1EdCvim__xyxvoo9WoburDTzYylznTCOJBHcnu7eurMw/edit?gid=15948134#gid=15948134"", ""Input!A1:B2000""),2,FALSE()))"),"NA")</f>
        <v>NA</v>
      </c>
    </row>
    <row r="565" hidden="1">
      <c r="A565" s="1" t="s">
        <v>1824</v>
      </c>
      <c r="B565" s="1">
        <v>1.0</v>
      </c>
      <c r="C565" s="1" t="s">
        <v>1752</v>
      </c>
      <c r="D565" s="1" t="s">
        <v>1827</v>
      </c>
      <c r="E565" s="16" t="s">
        <v>1828</v>
      </c>
      <c r="F565" s="14" t="s">
        <v>1704</v>
      </c>
      <c r="G565" s="1" t="s">
        <v>20</v>
      </c>
      <c r="H565" s="15" t="s">
        <v>1826</v>
      </c>
      <c r="J565" s="8" t="str">
        <f>IFERROR(__xludf.DUMMYFUNCTION("IF(ISBLANK(F565),""NA"", VLOOKUP(F565,IMPORTRANGE(""https://docs.google.com/spreadsheets/d/1EdCvim__xyxvoo9WoburDTzYylznTCOJBHcnu7eurMw/edit?gid=15948134#gid=15948134"", ""Purpose!A1:B1000""),2,FALSE()))"),"to clean data")</f>
        <v>to clean data</v>
      </c>
      <c r="K565" s="8" t="str">
        <f>IFERROR(__xludf.DUMMYFUNCTION("IF(ISBLANK(E565),""NA"", VLOOKUP(E565,IMPORTRANGE(""https://docs.google.com/spreadsheets/d/1EdCvim__xyxvoo9WoburDTzYylznTCOJBHcnu7eurMw/edit?gid=15948134#gid=15948134"", ""Technique!A1:B2000""),2,FALSE()))"),"filter out repositories by programming language, no forks, not compiling")</f>
        <v>filter out repositories by programming language, no forks, not compiling</v>
      </c>
      <c r="L565" s="8" t="str">
        <f>IFERROR(__xludf.DUMMYFUNCTION("IF(ISBLANK(D565),""NA"", VLOOKUP(D565,IMPORTRANGE(""https://docs.google.com/spreadsheets/d/1EdCvim__xyxvoo9WoburDTzYylznTCOJBHcnu7eurMw/edit?gid=15948134#gid=15948134"", ""Input!A1:B2000""),2,FALSE()))"),"code data (projects)")</f>
        <v>code data (projects)</v>
      </c>
    </row>
    <row r="566" hidden="1">
      <c r="A566" s="1" t="s">
        <v>1824</v>
      </c>
      <c r="B566" s="1">
        <v>2.0</v>
      </c>
      <c r="C566" s="1" t="s">
        <v>1829</v>
      </c>
      <c r="D566" s="1" t="s">
        <v>205</v>
      </c>
      <c r="E566" s="14" t="s">
        <v>1830</v>
      </c>
      <c r="F566" s="14" t="s">
        <v>1831</v>
      </c>
      <c r="G566" s="1" t="s">
        <v>14</v>
      </c>
      <c r="H566" s="15" t="s">
        <v>1826</v>
      </c>
      <c r="J566" s="8" t="str">
        <f>IFERROR(__xludf.DUMMYFUNCTION("IF(ISBLANK(F566),""NA"", VLOOKUP(F566,IMPORTRANGE(""https://docs.google.com/spreadsheets/d/1EdCvim__xyxvoo9WoburDTzYylznTCOJBHcnu7eurMw/edit?gid=15948134#gid=15948134"", ""Purpose!A1:B1000""),2,FALSE()))"),"to extract features")</f>
        <v>to extract features</v>
      </c>
      <c r="K566" s="8" t="str">
        <f>IFERROR(__xludf.DUMMYFUNCTION("IF(ISBLANK(E566),""NA"", VLOOKUP(E566,IMPORTRANGE(""https://docs.google.com/spreadsheets/d/1EdCvim__xyxvoo9WoburDTzYylznTCOJBHcnu7eurMw/edit?gid=15948134#gid=15948134"", ""Technique!A1:B2000""),2,FALSE()))"),"feature engineering, compute metrics (i.e., that describe the size, complexity, difussion, comments, developing patterns of a merge conflict)")</f>
        <v>feature engineering, compute metrics (i.e., that describe the size, complexity, difussion, comments, developing patterns of a merge conflict)</v>
      </c>
      <c r="L566" s="8" t="str">
        <f>IFERROR(__xludf.DUMMYFUNCTION("IF(ISBLANK(D566),""NA"", VLOOKUP(D566,IMPORTRANGE(""https://docs.google.com/spreadsheets/d/1EdCvim__xyxvoo9WoburDTzYylznTCOJBHcnu7eurMw/edit?gid=15948134#gid=15948134"", ""Input!A1:B2000""),2,FALSE()))"),"data")</f>
        <v>data</v>
      </c>
    </row>
    <row r="567" hidden="1">
      <c r="A567" s="1" t="s">
        <v>1824</v>
      </c>
      <c r="B567" s="1">
        <v>10.0</v>
      </c>
      <c r="C567" s="1" t="s">
        <v>1832</v>
      </c>
      <c r="E567" s="14" t="s">
        <v>1833</v>
      </c>
      <c r="F567" s="14" t="s">
        <v>1834</v>
      </c>
      <c r="G567" s="1" t="s">
        <v>106</v>
      </c>
      <c r="H567" s="15" t="s">
        <v>1826</v>
      </c>
      <c r="J567" s="8" t="str">
        <f>IFERROR(__xludf.DUMMYFUNCTION("IF(ISBLANK(F567),""NA"", VLOOKUP(F567,IMPORTRANGE(""https://docs.google.com/spreadsheets/d/1EdCvim__xyxvoo9WoburDTzYylznTCOJBHcnu7eurMw/edit?gid=15948134#gid=15948134"", ""Purpose!A1:B1000""),2,FALSE()))"),"to assign a label to the instances, manually")</f>
        <v>to assign a label to the instances, manually</v>
      </c>
      <c r="K567" s="8" t="str">
        <f>IFERROR(__xludf.DUMMYFUNCTION("IF(ISBLANK(E567),""NA"", VLOOKUP(E567,IMPORTRANGE(""https://docs.google.com/spreadsheets/d/1EdCvim__xyxvoo9WoburDTzYylznTCOJBHcnu7eurMw/edit?gid=15948134#gid=15948134"", ""Technique!A1:B2000""),2,FALSE()))"),"sample a percentage of the instances")</f>
        <v>sample a percentage of the instances</v>
      </c>
      <c r="L567" s="8" t="str">
        <f>IFERROR(__xludf.DUMMYFUNCTION("IF(ISBLANK(D567),""NA"", VLOOKUP(D567,IMPORTRANGE(""https://docs.google.com/spreadsheets/d/1EdCvim__xyxvoo9WoburDTzYylznTCOJBHcnu7eurMw/edit?gid=15948134#gid=15948134"", ""Input!A1:B2000""),2,FALSE()))"),"NA")</f>
        <v>NA</v>
      </c>
    </row>
    <row r="568" hidden="1">
      <c r="A568" s="1" t="s">
        <v>1824</v>
      </c>
      <c r="B568" s="1" t="s">
        <v>1415</v>
      </c>
      <c r="C568" s="1" t="s">
        <v>1835</v>
      </c>
      <c r="E568" s="14" t="s">
        <v>1836</v>
      </c>
      <c r="F568" s="14" t="s">
        <v>1837</v>
      </c>
      <c r="G568" s="1" t="s">
        <v>106</v>
      </c>
      <c r="H568" s="15" t="s">
        <v>1826</v>
      </c>
      <c r="J568" s="8" t="str">
        <f>IFERROR(__xludf.DUMMYFUNCTION("IF(ISBLANK(F568),""NA"", VLOOKUP(F568,IMPORTRANGE(""https://docs.google.com/spreadsheets/d/1EdCvim__xyxvoo9WoburDTzYylznTCOJBHcnu7eurMw/edit?gid=15948134#gid=15948134"", ""Purpose!A1:B1000""),2,FALSE()))"),"to understand how much agreement are between taggers in the labeling")</f>
        <v>to understand how much agreement are between taggers in the labeling</v>
      </c>
      <c r="K568" s="8" t="str">
        <f>IFERROR(__xludf.DUMMYFUNCTION("IF(ISBLANK(E568),""NA"", VLOOKUP(E568,IMPORTRANGE(""https://docs.google.com/spreadsheets/d/1EdCvim__xyxvoo9WoburDTzYylznTCOJBHcnu7eurMw/edit?gid=15948134#gid=15948134"", ""Technique!A1:B2000""),2,FALSE()))"),"compute interrater agreement, Cohen's Kappa")</f>
        <v>compute interrater agreement, Cohen's Kappa</v>
      </c>
      <c r="L568" s="8" t="str">
        <f>IFERROR(__xludf.DUMMYFUNCTION("IF(ISBLANK(D568),""NA"", VLOOKUP(D568,IMPORTRANGE(""https://docs.google.com/spreadsheets/d/1EdCvim__xyxvoo9WoburDTzYylznTCOJBHcnu7eurMw/edit?gid=15948134#gid=15948134"", ""Input!A1:B2000""),2,FALSE()))"),"NA")</f>
        <v>NA</v>
      </c>
    </row>
    <row r="569" hidden="1">
      <c r="A569" s="1" t="s">
        <v>1824</v>
      </c>
      <c r="B569" s="1" t="s">
        <v>1408</v>
      </c>
      <c r="C569" s="1" t="s">
        <v>1835</v>
      </c>
      <c r="E569" s="14" t="s">
        <v>1838</v>
      </c>
      <c r="F569" s="14" t="s">
        <v>1839</v>
      </c>
      <c r="G569" s="1" t="s">
        <v>106</v>
      </c>
      <c r="H569" s="15" t="s">
        <v>1826</v>
      </c>
      <c r="J569" s="8" t="str">
        <f>IFERROR(__xludf.DUMMYFUNCTION("IF(ISBLANK(F569),""NA"", VLOOKUP(F569,IMPORTRANGE(""https://docs.google.com/spreadsheets/d/1EdCvim__xyxvoo9WoburDTzYylznTCOJBHcnu7eurMw/edit?gid=15948134#gid=15948134"", ""Purpose!A1:B1000""),2,FALSE()))"),"to understand how much agreement are between taggers in the labeling, in an early step of the process")</f>
        <v>to understand how much agreement are between taggers in the labeling, in an early step of the process</v>
      </c>
      <c r="K569" s="8" t="str">
        <f>IFERROR(__xludf.DUMMYFUNCTION("IF(ISBLANK(E569),""NA"", VLOOKUP(E569,IMPORTRANGE(""https://docs.google.com/spreadsheets/d/1EdCvim__xyxvoo9WoburDTzYylznTCOJBHcnu7eurMw/edit?gid=15948134#gid=15948134"", ""Technique!A1:B2000""),2,FALSE()))"),"manual label validation of collected dataset/automatically labeled, small sample at the begining of the process")</f>
        <v>manual label validation of collected dataset/automatically labeled, small sample at the begining of the process</v>
      </c>
      <c r="L569" s="8" t="str">
        <f>IFERROR(__xludf.DUMMYFUNCTION("IF(ISBLANK(D569),""NA"", VLOOKUP(D569,IMPORTRANGE(""https://docs.google.com/spreadsheets/d/1EdCvim__xyxvoo9WoburDTzYylznTCOJBHcnu7eurMw/edit?gid=15948134#gid=15948134"", ""Input!A1:B2000""),2,FALSE()))"),"NA")</f>
        <v>NA</v>
      </c>
    </row>
    <row r="570" hidden="1">
      <c r="A570" s="1" t="s">
        <v>1824</v>
      </c>
      <c r="B570" s="1" t="s">
        <v>1840</v>
      </c>
      <c r="C570" s="1" t="s">
        <v>1841</v>
      </c>
      <c r="D570" s="1" t="s">
        <v>1842</v>
      </c>
      <c r="E570" s="14" t="s">
        <v>1843</v>
      </c>
      <c r="F570" s="14" t="s">
        <v>1844</v>
      </c>
      <c r="G570" s="1" t="s">
        <v>14</v>
      </c>
      <c r="H570" s="15" t="s">
        <v>1826</v>
      </c>
      <c r="J570" s="8" t="str">
        <f>IFERROR(__xludf.DUMMYFUNCTION("IF(ISBLANK(F570),""NA"", VLOOKUP(F570,IMPORTRANGE(""https://docs.google.com/spreadsheets/d/1EdCvim__xyxvoo9WoburDTzYylznTCOJBHcnu7eurMw/edit?gid=15948134#gid=15948134"", ""Purpose!A1:B1000""),2,FALSE()))"),"to reduce model performance estimation errors")</f>
        <v>to reduce model performance estimation errors</v>
      </c>
      <c r="K570" s="8" t="str">
        <f>IFERROR(__xludf.DUMMYFUNCTION("IF(ISBLANK(E570),""NA"", VLOOKUP(E570,IMPORTRANGE(""https://docs.google.com/spreadsheets/d/1EdCvim__xyxvoo9WoburDTzYylznTCOJBHcnu7eurMw/edit?gid=15948134#gid=15948134"", ""Technique!A1:B2000""),2,FALSE()))"),"check for multicolinearity, Variance Inflation Factor")</f>
        <v>check for multicolinearity, Variance Inflation Factor</v>
      </c>
      <c r="L570" s="8" t="str">
        <f>IFERROR(__xludf.DUMMYFUNCTION("IF(ISBLANK(D570),""NA"", VLOOKUP(D570,IMPORTRANGE(""https://docs.google.com/spreadsheets/d/1EdCvim__xyxvoo9WoburDTzYylznTCOJBHcnu7eurMw/edit?gid=15948134#gid=15948134"", ""Input!A1:B2000""),2,FALSE()))"),"numeric features (that describe the size, complexity, difussion, comments, developing patterns of a merge conflict)")</f>
        <v>numeric features (that describe the size, complexity, difussion, comments, developing patterns of a merge conflict)</v>
      </c>
    </row>
    <row r="571" hidden="1">
      <c r="A571" s="1" t="s">
        <v>1824</v>
      </c>
      <c r="B571" s="1" t="s">
        <v>1002</v>
      </c>
      <c r="C571" s="1" t="s">
        <v>1845</v>
      </c>
      <c r="E571" s="16" t="s">
        <v>1846</v>
      </c>
      <c r="F571" s="14" t="s">
        <v>1847</v>
      </c>
      <c r="G571" s="1" t="s">
        <v>54</v>
      </c>
      <c r="H571" s="15" t="s">
        <v>1826</v>
      </c>
      <c r="J571" s="8" t="str">
        <f>IFERROR(__xludf.DUMMYFUNCTION("IF(ISBLANK(F571),""NA"", VLOOKUP(F571,IMPORTRANGE(""https://docs.google.com/spreadsheets/d/1EdCvim__xyxvoo9WoburDTzYylznTCOJBHcnu7eurMw/edit?gid=15948134#gid=15948134"", ""Purpose!A1:B1000""),2,FALSE()))"),"to reduce the risk of results being dependent on the algorithm or implementation")</f>
        <v>to reduce the risk of results being dependent on the algorithm or implementation</v>
      </c>
      <c r="K571" s="8" t="str">
        <f>IFERROR(__xludf.DUMMYFUNCTION("IF(ISBLANK(E571),""NA"", VLOOKUP(E571,IMPORTRANGE(""https://docs.google.com/spreadsheets/d/1EdCvim__xyxvoo9WoburDTzYylznTCOJBHcnu7eurMw/edit?gid=15948134#gid=15948134"", ""Technique!A1:B2000""),2,FALSE()))"),"use support vector machines + binomial Logistic Regression + Bayes Network + Multi Layer Perceptron + ensemble models, boostrap aggregating")</f>
        <v>use support vector machines + binomial Logistic Regression + Bayes Network + Multi Layer Perceptron + ensemble models, boostrap aggregating</v>
      </c>
      <c r="L571" s="8" t="str">
        <f>IFERROR(__xludf.DUMMYFUNCTION("IF(ISBLANK(D571),""NA"", VLOOKUP(D571,IMPORTRANGE(""https://docs.google.com/spreadsheets/d/1EdCvim__xyxvoo9WoburDTzYylznTCOJBHcnu7eurMw/edit?gid=15948134#gid=15948134"", ""Input!A1:B2000""),2,FALSE()))"),"NA")</f>
        <v>NA</v>
      </c>
    </row>
    <row r="572" hidden="1">
      <c r="A572" s="1" t="s">
        <v>1824</v>
      </c>
      <c r="B572" s="1" t="s">
        <v>1848</v>
      </c>
      <c r="C572" s="1" t="s">
        <v>1845</v>
      </c>
      <c r="D572" s="1" t="s">
        <v>1849</v>
      </c>
      <c r="E572" s="16" t="s">
        <v>933</v>
      </c>
      <c r="G572" s="1" t="s">
        <v>54</v>
      </c>
      <c r="H572" s="15" t="s">
        <v>1826</v>
      </c>
      <c r="J572" s="8" t="str">
        <f>IFERROR(__xludf.DUMMYFUNCTION("IF(ISBLANK(F572),""NA"", VLOOKUP(F572,IMPORTRANGE(""https://docs.google.com/spreadsheets/d/1EdCvim__xyxvoo9WoburDTzYylznTCOJBHcnu7eurMw/edit?gid=15948134#gid=15948134"", ""Purpose!A1:B1000""),2,FALSE()))"),"NA")</f>
        <v>NA</v>
      </c>
      <c r="K572" s="8" t="str">
        <f>IFERROR(__xludf.DUMMYFUNCTION("IF(ISBLANK(E572),""NA"", VLOOKUP(E572,IMPORTRANGE(""https://docs.google.com/spreadsheets/d/1EdCvim__xyxvoo9WoburDTzYylznTCOJBHcnu7eurMw/edit?gid=15948134#gid=15948134"", ""Technique!A1:B2000""),2,FALSE()))"),"cross validation")</f>
        <v>cross validation</v>
      </c>
      <c r="L572" s="8" t="str">
        <f>IFERROR(__xludf.DUMMYFUNCTION("IF(ISBLANK(D572),""NA"", VLOOKUP(D572,IMPORTRANGE(""https://docs.google.com/spreadsheets/d/1EdCvim__xyxvoo9WoburDTzYylznTCOJBHcnu7eurMw/edit?gid=15948134#gid=15948134"", ""Input!A1:B2000""),2,FALSE()))"),"computed metrics")</f>
        <v>computed metrics</v>
      </c>
    </row>
    <row r="573" hidden="1">
      <c r="A573" s="1" t="s">
        <v>1824</v>
      </c>
      <c r="B573" s="1">
        <v>15.0</v>
      </c>
      <c r="C573" s="1" t="s">
        <v>1850</v>
      </c>
      <c r="D573" s="1" t="s">
        <v>1849</v>
      </c>
      <c r="E573" s="14" t="s">
        <v>1851</v>
      </c>
      <c r="F573" s="14" t="s">
        <v>1852</v>
      </c>
      <c r="G573" s="1" t="s">
        <v>39</v>
      </c>
      <c r="H573" s="15" t="s">
        <v>1826</v>
      </c>
      <c r="J573" s="8" t="str">
        <f>IFERROR(__xludf.DUMMYFUNCTION("IF(ISBLANK(F573),""NA"", VLOOKUP(F573,IMPORTRANGE(""https://docs.google.com/spreadsheets/d/1EdCvim__xyxvoo9WoburDTzYylznTCOJBHcnu7eurMw/edit?gid=15948134#gid=15948134"", ""Purpose!A1:B1000""),2,FALSE()))"),"to select best performance vs complexity model")</f>
        <v>to select best performance vs complexity model</v>
      </c>
      <c r="K573" s="8" t="str">
        <f>IFERROR(__xludf.DUMMYFUNCTION("IF(ISBLANK(E573),""NA"", VLOOKUP(E573,IMPORTRANGE(""https://docs.google.com/spreadsheets/d/1EdCvim__xyxvoo9WoburDTzYylznTCOJBHcnu7eurMw/edit?gid=15948134#gid=15948134"", ""Technique!A1:B2000""),2,FALSE()))"),"compute metrics (i.e., Akaike Information Criterion)")</f>
        <v>compute metrics (i.e., Akaike Information Criterion)</v>
      </c>
      <c r="L573" s="8" t="str">
        <f>IFERROR(__xludf.DUMMYFUNCTION("IF(ISBLANK(D573),""NA"", VLOOKUP(D573,IMPORTRANGE(""https://docs.google.com/spreadsheets/d/1EdCvim__xyxvoo9WoburDTzYylznTCOJBHcnu7eurMw/edit?gid=15948134#gid=15948134"", ""Input!A1:B2000""),2,FALSE()))"),"computed metrics")</f>
        <v>computed metrics</v>
      </c>
    </row>
    <row r="574" hidden="1">
      <c r="A574" s="1" t="s">
        <v>1824</v>
      </c>
      <c r="B574" s="1">
        <v>17.0</v>
      </c>
      <c r="C574" s="1" t="s">
        <v>1853</v>
      </c>
      <c r="E574" s="14" t="s">
        <v>1854</v>
      </c>
      <c r="F574" s="14" t="s">
        <v>1855</v>
      </c>
      <c r="G574" s="1" t="s">
        <v>39</v>
      </c>
      <c r="H574" s="15" t="s">
        <v>1826</v>
      </c>
      <c r="J574" s="8" t="str">
        <f>IFERROR(__xludf.DUMMYFUNCTION("IF(ISBLANK(F574),""NA"", VLOOKUP(F574,IMPORTRANGE(""https://docs.google.com/spreadsheets/d/1EdCvim__xyxvoo9WoburDTzYylznTCOJBHcnu7eurMw/edit?gid=15948134#gid=15948134"", ""Purpose!A1:B1000""),2,FALSE()))"),"to find the best hyperparameters in general")</f>
        <v>to find the best hyperparameters in general</v>
      </c>
      <c r="K574" s="8" t="str">
        <f>IFERROR(__xludf.DUMMYFUNCTION("IF(ISBLANK(E574),""NA"", VLOOKUP(E574,IMPORTRANGE(""https://docs.google.com/spreadsheets/d/1EdCvim__xyxvoo9WoburDTzYylznTCOJBHcnu7eurMw/edit?gid=15948134#gid=15948134"", ""Technique!A1:B2000""),2,FALSE()))"),"use Auto-weka")</f>
        <v>use Auto-weka</v>
      </c>
      <c r="L574" s="8" t="str">
        <f>IFERROR(__xludf.DUMMYFUNCTION("IF(ISBLANK(D574),""NA"", VLOOKUP(D574,IMPORTRANGE(""https://docs.google.com/spreadsheets/d/1EdCvim__xyxvoo9WoburDTzYylznTCOJBHcnu7eurMw/edit?gid=15948134#gid=15948134"", ""Input!A1:B2000""),2,FALSE()))"),"NA")</f>
        <v>NA</v>
      </c>
    </row>
    <row r="575" hidden="1">
      <c r="A575" s="1" t="s">
        <v>1824</v>
      </c>
      <c r="B575" s="1" t="s">
        <v>1856</v>
      </c>
      <c r="C575" s="1" t="s">
        <v>1857</v>
      </c>
      <c r="D575" s="1" t="s">
        <v>947</v>
      </c>
      <c r="E575" s="14" t="s">
        <v>1858</v>
      </c>
      <c r="F575" s="14" t="s">
        <v>1385</v>
      </c>
      <c r="G575" s="1" t="s">
        <v>39</v>
      </c>
      <c r="H575" s="15" t="s">
        <v>1826</v>
      </c>
      <c r="J575" s="8" t="str">
        <f>IFERROR(__xludf.DUMMYFUNCTION("IF(ISBLANK(F575),""NA"", VLOOKUP(F575,IMPORTRANGE(""https://docs.google.com/spreadsheets/d/1EdCvim__xyxvoo9WoburDTzYylznTCOJBHcnu7eurMw/edit?gid=15948134#gid=15948134"", ""Purpose!A1:B1000""),2,FALSE()))"),"to evaluate model(s) functionally (e.g., accuracy)")</f>
        <v>to evaluate model(s) functionally (e.g., accuracy)</v>
      </c>
      <c r="K575" s="8" t="str">
        <f>IFERROR(__xludf.DUMMYFUNCTION("IF(ISBLANK(E575),""NA"", VLOOKUP(E575,IMPORTRANGE(""https://docs.google.com/spreadsheets/d/1EdCvim__xyxvoo9WoburDTzYylznTCOJBHcnu7eurMw/edit?gid=15948134#gid=15948134"", ""Technique!A1:B2000""),2,FALSE()))"),"compute classical metrics (i.e., Accuracy, Precision, AUROC)")</f>
        <v>compute classical metrics (i.e., Accuracy, Precision, AUROC)</v>
      </c>
      <c r="L575" s="8" t="str">
        <f>IFERROR(__xludf.DUMMYFUNCTION("IF(ISBLANK(D575),""NA"", VLOOKUP(D575,IMPORTRANGE(""https://docs.google.com/spreadsheets/d/1EdCvim__xyxvoo9WoburDTzYylznTCOJBHcnu7eurMw/edit?gid=15948134#gid=15948134"", ""Input!A1:B2000""),2,FALSE()))"),"confusion matrix")</f>
        <v>confusion matrix</v>
      </c>
    </row>
    <row r="576" hidden="1">
      <c r="A576" s="1" t="s">
        <v>1824</v>
      </c>
      <c r="B576" s="1">
        <v>21.0</v>
      </c>
      <c r="C576" s="1" t="s">
        <v>1859</v>
      </c>
      <c r="E576" s="14" t="s">
        <v>1860</v>
      </c>
      <c r="F576" s="14" t="s">
        <v>1861</v>
      </c>
      <c r="G576" s="1" t="s">
        <v>14</v>
      </c>
      <c r="H576" s="15" t="s">
        <v>1826</v>
      </c>
      <c r="J576" s="8" t="str">
        <f>IFERROR(__xludf.DUMMYFUNCTION("IF(ISBLANK(F576),""NA"", VLOOKUP(F576,IMPORTRANGE(""https://docs.google.com/spreadsheets/d/1EdCvim__xyxvoo9WoburDTzYylznTCOJBHcnu7eurMw/edit?gid=15948134#gid=15948134"", ""Purpose!A1:B1000""),2,FALSE()))"),"to identify relevant features")</f>
        <v>to identify relevant features</v>
      </c>
      <c r="K576" s="8" t="str">
        <f>IFERROR(__xludf.DUMMYFUNCTION("IF(ISBLANK(E576),""NA"", VLOOKUP(E576,IMPORTRANGE(""https://docs.google.com/spreadsheets/d/1EdCvim__xyxvoo9WoburDTzYylznTCOJBHcnu7eurMw/edit?gid=15948134#gid=15948134"", ""Technique!A1:B2000""),2,FALSE()))"),"feature selection, use Wrapper")</f>
        <v>feature selection, use Wrapper</v>
      </c>
      <c r="L576" s="8" t="str">
        <f>IFERROR(__xludf.DUMMYFUNCTION("IF(ISBLANK(D576),""NA"", VLOOKUP(D576,IMPORTRANGE(""https://docs.google.com/spreadsheets/d/1EdCvim__xyxvoo9WoburDTzYylznTCOJBHcnu7eurMw/edit?gid=15948134#gid=15948134"", ""Input!A1:B2000""),2,FALSE()))"),"NA")</f>
        <v>NA</v>
      </c>
    </row>
    <row r="577" hidden="1">
      <c r="A577" s="1" t="s">
        <v>1862</v>
      </c>
      <c r="B577" s="1">
        <v>6.0</v>
      </c>
      <c r="C577" s="1" t="s">
        <v>1863</v>
      </c>
      <c r="D577" s="1" t="s">
        <v>1864</v>
      </c>
      <c r="E577" s="16" t="s">
        <v>1865</v>
      </c>
      <c r="F577" s="14" t="s">
        <v>1866</v>
      </c>
      <c r="G577" s="1" t="s">
        <v>54</v>
      </c>
      <c r="H577" s="15" t="s">
        <v>1867</v>
      </c>
      <c r="J577" s="8" t="str">
        <f>IFERROR(__xludf.DUMMYFUNCTION("IF(ISBLANK(F577),""NA"", VLOOKUP(F577,IMPORTRANGE(""https://docs.google.com/spreadsheets/d/1EdCvim__xyxvoo9WoburDTzYylznTCOJBHcnu7eurMw/edit?gid=15948134#gid=15948134"", ""Purpose!A1:B1000""),2,FALSE()))"),"to train a modle for detection tasks (i.e., links between reports and code)")</f>
        <v>to train a modle for detection tasks (i.e., links between reports and code)</v>
      </c>
      <c r="K577" s="8" t="str">
        <f>IFERROR(__xludf.DUMMYFUNCTION("IF(ISBLANK(E577),""NA"", VLOOKUP(E577,IMPORTRANGE(""https://docs.google.com/spreadsheets/d/1EdCvim__xyxvoo9WoburDTzYylznTCOJBHcnu7eurMw/edit?gid=15948134#gid=15948134"", ""Technique!A1:B2000""),2,FALSE()))"),"use LDA")</f>
        <v>use LDA</v>
      </c>
      <c r="L577" s="8" t="str">
        <f>IFERROR(__xludf.DUMMYFUNCTION("IF(ISBLANK(D577),""NA"", VLOOKUP(D577,IMPORTRANGE(""https://docs.google.com/spreadsheets/d/1EdCvim__xyxvoo9WoburDTzYylznTCOJBHcnu7eurMw/edit?gid=15948134#gid=15948134"", ""Input!A1:B2000""),2,FALSE()))"),"textual data (bug reports) + textual data (i.e., code data)")</f>
        <v>textual data (bug reports) + textual data (i.e., code data)</v>
      </c>
    </row>
    <row r="578" hidden="1">
      <c r="A578" s="1" t="s">
        <v>1862</v>
      </c>
      <c r="B578" s="1">
        <v>8.0</v>
      </c>
      <c r="C578" s="1" t="s">
        <v>1868</v>
      </c>
      <c r="D578" s="1" t="s">
        <v>1864</v>
      </c>
      <c r="E578" s="14" t="s">
        <v>1869</v>
      </c>
      <c r="F578" s="14" t="s">
        <v>1870</v>
      </c>
      <c r="G578" s="1" t="s">
        <v>39</v>
      </c>
      <c r="H578" s="15" t="s">
        <v>1867</v>
      </c>
      <c r="J578" s="8" t="str">
        <f>IFERROR(__xludf.DUMMYFUNCTION("IF(ISBLANK(F578),""NA"", VLOOKUP(F578,IMPORTRANGE(""https://docs.google.com/spreadsheets/d/1EdCvim__xyxvoo9WoburDTzYylznTCOJBHcnu7eurMw/edit?gid=15948134#gid=15948134"", ""Purpose!A1:B1000""),2,FALSE()))"),"to evaluate similarity in topics between vector representations (i.e., bug reports and source code)")</f>
        <v>to evaluate similarity in topics between vector representations (i.e., bug reports and source code)</v>
      </c>
      <c r="K578" s="8" t="str">
        <f>IFERROR(__xludf.DUMMYFUNCTION("IF(ISBLANK(E578),""NA"", VLOOKUP(E578,IMPORTRANGE(""https://docs.google.com/spreadsheets/d/1EdCvim__xyxvoo9WoburDTzYylznTCOJBHcnu7eurMw/edit?gid=15948134#gid=15948134"", ""Technique!A1:B2000""),2,FALSE()))"),"use cosine distance")</f>
        <v>use cosine distance</v>
      </c>
      <c r="L578" s="8" t="str">
        <f>IFERROR(__xludf.DUMMYFUNCTION("IF(ISBLANK(D578),""NA"", VLOOKUP(D578,IMPORTRANGE(""https://docs.google.com/spreadsheets/d/1EdCvim__xyxvoo9WoburDTzYylznTCOJBHcnu7eurMw/edit?gid=15948134#gid=15948134"", ""Input!A1:B2000""),2,FALSE()))"),"textual data (bug reports) + textual data (i.e., code data)")</f>
        <v>textual data (bug reports) + textual data (i.e., code data)</v>
      </c>
    </row>
    <row r="579" hidden="1">
      <c r="A579" s="1" t="s">
        <v>1862</v>
      </c>
      <c r="B579" s="1">
        <v>9.0</v>
      </c>
      <c r="C579" s="1" t="s">
        <v>1871</v>
      </c>
      <c r="D579" s="1" t="s">
        <v>1872</v>
      </c>
      <c r="E579" s="16" t="s">
        <v>1873</v>
      </c>
      <c r="F579" s="14" t="s">
        <v>1874</v>
      </c>
      <c r="G579" s="1" t="s">
        <v>54</v>
      </c>
      <c r="H579" s="15" t="s">
        <v>1867</v>
      </c>
      <c r="J579" s="8" t="str">
        <f>IFERROR(__xludf.DUMMYFUNCTION("IF(ISBLANK(F579),""NA"", VLOOKUP(F579,IMPORTRANGE(""https://docs.google.com/spreadsheets/d/1EdCvim__xyxvoo9WoburDTzYylznTCOJBHcnu7eurMw/edit?gid=15948134#gid=15948134"", ""Purpose!A1:B1000""),2,FALSE()))"),"to find the best parameters (i.e., LDA parameters)")</f>
        <v>to find the best parameters (i.e., LDA parameters)</v>
      </c>
      <c r="K579" s="8" t="str">
        <f>IFERROR(__xludf.DUMMYFUNCTION("IF(ISBLANK(E579),""NA"", VLOOKUP(E579,IMPORTRANGE(""https://docs.google.com/spreadsheets/d/1EdCvim__xyxvoo9WoburDTzYylznTCOJBHcnu7eurMw/edit?gid=15948134#gid=15948134"", ""Technique!A1:B2000""),2,FALSE()))"),"use gibbs sampling")</f>
        <v>use gibbs sampling</v>
      </c>
      <c r="L579" s="8" t="str">
        <f>IFERROR(__xludf.DUMMYFUNCTION("IF(ISBLANK(D579),""NA"", VLOOKUP(D579,IMPORTRANGE(""https://docs.google.com/spreadsheets/d/1EdCvim__xyxvoo9WoburDTzYylznTCOJBHcnu7eurMw/edit?gid=15948134#gid=15948134"", ""Input!A1:B2000""),2,FALSE()))"),"textual data (bug reports) + textual data (i.e., code data)")</f>
        <v>textual data (bug reports) + textual data (i.e., code data)</v>
      </c>
    </row>
    <row r="580" hidden="1">
      <c r="A580" s="1" t="s">
        <v>1862</v>
      </c>
      <c r="B580" s="1">
        <v>1.0</v>
      </c>
      <c r="C580" s="1" t="s">
        <v>1875</v>
      </c>
      <c r="E580" s="14" t="s">
        <v>1876</v>
      </c>
      <c r="F580" s="14" t="s">
        <v>98</v>
      </c>
      <c r="G580" s="1" t="s">
        <v>44</v>
      </c>
      <c r="H580" s="15" t="s">
        <v>1867</v>
      </c>
      <c r="J580" s="8" t="str">
        <f>IFERROR(__xludf.DUMMYFUNCTION("IF(ISBLANK(F580),""NA"", VLOOKUP(F580,IMPORTRANGE(""https://docs.google.com/spreadsheets/d/1EdCvim__xyxvoo9WoburDTzYylznTCOJBHcnu7eurMw/edit?gid=15948134#gid=15948134"", ""Purpose!A1:B1000""),2,FALSE()))"),"to collect data")</f>
        <v>to collect data</v>
      </c>
      <c r="K580" s="8" t="str">
        <f>IFERROR(__xludf.DUMMYFUNCTION("IF(ISBLANK(E580),""NA"", VLOOKUP(E580,IMPORTRANGE(""https://docs.google.com/spreadsheets/d/1EdCvim__xyxvoo9WoburDTzYylznTCOJBHcnu7eurMw/edit?gid=15948134#gid=15948134"", ""Technique!A1:B2000""),2,FALSE()))"),"collect own data from open-source projects, previously used")</f>
        <v>collect own data from open-source projects, previously used</v>
      </c>
      <c r="L580" s="8" t="str">
        <f>IFERROR(__xludf.DUMMYFUNCTION("IF(ISBLANK(D580),""NA"", VLOOKUP(D580,IMPORTRANGE(""https://docs.google.com/spreadsheets/d/1EdCvim__xyxvoo9WoburDTzYylznTCOJBHcnu7eurMw/edit?gid=15948134#gid=15948134"", ""Input!A1:B2000""),2,FALSE()))"),"NA")</f>
        <v>NA</v>
      </c>
    </row>
    <row r="581" hidden="1">
      <c r="A581" s="1" t="s">
        <v>1862</v>
      </c>
      <c r="B581" s="1">
        <v>7.0</v>
      </c>
      <c r="C581" s="1" t="s">
        <v>1863</v>
      </c>
      <c r="D581" s="1" t="s">
        <v>1864</v>
      </c>
      <c r="E581" s="14" t="s">
        <v>1877</v>
      </c>
      <c r="F581" s="14" t="s">
        <v>1878</v>
      </c>
      <c r="G581" s="1" t="s">
        <v>14</v>
      </c>
      <c r="H581" s="15" t="s">
        <v>1867</v>
      </c>
      <c r="J581" s="8" t="str">
        <f>IFERROR(__xludf.DUMMYFUNCTION("IF(ISBLANK(F581),""NA"", VLOOKUP(F581,IMPORTRANGE(""https://docs.google.com/spreadsheets/d/1EdCvim__xyxvoo9WoburDTzYylznTCOJBHcnu7eurMw/edit?gid=15948134#gid=15948134"", ""Purpose!A1:B1000""),2,FALSE()))"),"to represent textual and code data")</f>
        <v>to represent textual and code data</v>
      </c>
      <c r="K581" s="8" t="str">
        <f>IFERROR(__xludf.DUMMYFUNCTION("IF(ISBLANK(E581),""NA"", VLOOKUP(E581,IMPORTRANGE(""https://docs.google.com/spreadsheets/d/1EdCvim__xyxvoo9WoburDTzYylznTCOJBHcnu7eurMw/edit?gid=15948134#gid=15948134"", ""Technique!A1:B2000""),2,FALSE()))"),"use bag of words")</f>
        <v>use bag of words</v>
      </c>
      <c r="L581" s="8" t="str">
        <f>IFERROR(__xludf.DUMMYFUNCTION("IF(ISBLANK(D581),""NA"", VLOOKUP(D581,IMPORTRANGE(""https://docs.google.com/spreadsheets/d/1EdCvim__xyxvoo9WoburDTzYylznTCOJBHcnu7eurMw/edit?gid=15948134#gid=15948134"", ""Input!A1:B2000""),2,FALSE()))"),"textual data (bug reports) + textual data (i.e., code data)")</f>
        <v>textual data (bug reports) + textual data (i.e., code data)</v>
      </c>
    </row>
    <row r="582" hidden="1">
      <c r="A582" s="1" t="s">
        <v>1862</v>
      </c>
      <c r="B582" s="1">
        <v>10.0</v>
      </c>
      <c r="C582" s="1" t="s">
        <v>1875</v>
      </c>
      <c r="E582" s="14" t="s">
        <v>1728</v>
      </c>
      <c r="F582" s="14" t="s">
        <v>585</v>
      </c>
      <c r="G582" s="1" t="s">
        <v>44</v>
      </c>
      <c r="H582" s="15" t="s">
        <v>1867</v>
      </c>
      <c r="J582" s="8" t="str">
        <f>IFERROR(__xludf.DUMMYFUNCTION("IF(ISBLANK(F582),""NA"", VLOOKUP(F582,IMPORTRANGE(""https://docs.google.com/spreadsheets/d/1EdCvim__xyxvoo9WoburDTzYylznTCOJBHcnu7eurMw/edit?gid=15948134#gid=15948134"", ""Purpose!A1:B1000""),2,FALSE()))"),"to be able to replicate/reproduce a study, research")</f>
        <v>to be able to replicate/reproduce a study, research</v>
      </c>
      <c r="K582" s="8" t="str">
        <f>IFERROR(__xludf.DUMMYFUNCTION("IF(ISBLANK(E582),""NA"", VLOOKUP(E582,IMPORTRANGE(""https://docs.google.com/spreadsheets/d/1EdCvim__xyxvoo9WoburDTzYylznTCOJBHcnu7eurMw/edit?gid=15948134#gid=15948134"", ""Technique!A1:B2000""),2,FALSE()))"),"use existing datasets")</f>
        <v>use existing datasets</v>
      </c>
      <c r="L582" s="8" t="str">
        <f>IFERROR(__xludf.DUMMYFUNCTION("IF(ISBLANK(D582),""NA"", VLOOKUP(D582,IMPORTRANGE(""https://docs.google.com/spreadsheets/d/1EdCvim__xyxvoo9WoburDTzYylznTCOJBHcnu7eurMw/edit?gid=15948134#gid=15948134"", ""Input!A1:B2000""),2,FALSE()))"),"NA")</f>
        <v>NA</v>
      </c>
    </row>
    <row r="583" hidden="1">
      <c r="A583" s="1" t="s">
        <v>1862</v>
      </c>
      <c r="B583" s="1" t="s">
        <v>270</v>
      </c>
      <c r="C583" s="1" t="s">
        <v>1879</v>
      </c>
      <c r="D583" s="1" t="s">
        <v>1864</v>
      </c>
      <c r="E583" s="16" t="s">
        <v>1880</v>
      </c>
      <c r="F583" s="14" t="s">
        <v>1016</v>
      </c>
      <c r="G583" s="1" t="s">
        <v>20</v>
      </c>
      <c r="H583" s="15" t="s">
        <v>1867</v>
      </c>
      <c r="J583" s="8" t="str">
        <f>IFERROR(__xludf.DUMMYFUNCTION("IF(ISBLANK(F583),""NA"", VLOOKUP(F583,IMPORTRANGE(""https://docs.google.com/spreadsheets/d/1EdCvim__xyxvoo9WoburDTzYylznTCOJBHcnu7eurMw/edit?gid=15948134#gid=15948134"", ""Purpose!A1:B1000""),2,FALSE()))"),"to remove the noise in data")</f>
        <v>to remove the noise in data</v>
      </c>
      <c r="K583" s="8" t="str">
        <f>IFERROR(__xludf.DUMMYFUNCTION("IF(ISBLANK(E583),""NA"", VLOOKUP(E583,IMPORTRANGE(""https://docs.google.com/spreadsheets/d/1EdCvim__xyxvoo9WoburDTzYylznTCOJBHcnu7eurMw/edit?gid=15948134#gid=15948134"", ""Technique!A1:B2000""),2,FALSE()))"),"remove stop words")</f>
        <v>remove stop words</v>
      </c>
      <c r="L583" s="8" t="str">
        <f>IFERROR(__xludf.DUMMYFUNCTION("IF(ISBLANK(D583),""NA"", VLOOKUP(D583,IMPORTRANGE(""https://docs.google.com/spreadsheets/d/1EdCvim__xyxvoo9WoburDTzYylznTCOJBHcnu7eurMw/edit?gid=15948134#gid=15948134"", ""Input!A1:B2000""),2,FALSE()))"),"textual data (bug reports) + textual data (i.e., code data)")</f>
        <v>textual data (bug reports) + textual data (i.e., code data)</v>
      </c>
    </row>
    <row r="584" hidden="1">
      <c r="A584" s="1" t="s">
        <v>1862</v>
      </c>
      <c r="B584" s="1" t="s">
        <v>1881</v>
      </c>
      <c r="C584" s="1" t="s">
        <v>1879</v>
      </c>
      <c r="D584" s="1" t="s">
        <v>1864</v>
      </c>
      <c r="E584" s="16" t="s">
        <v>46</v>
      </c>
      <c r="F584" s="14" t="s">
        <v>1882</v>
      </c>
      <c r="G584" s="1" t="s">
        <v>20</v>
      </c>
      <c r="H584" s="15" t="s">
        <v>1867</v>
      </c>
      <c r="J584" s="8" t="str">
        <f>IFERROR(__xludf.DUMMYFUNCTION("IF(ISBLANK(F584),""NA"", VLOOKUP(F584,IMPORTRANGE(""https://docs.google.com/spreadsheets/d/1EdCvim__xyxvoo9WoburDTzYylznTCOJBHcnu7eurMw/edit?gid=15948134#gid=15948134"", ""Purpose!A1:B1000""),2,FALSE()))"),"to normalize the textual data")</f>
        <v>to normalize the textual data</v>
      </c>
      <c r="K584" s="8" t="str">
        <f>IFERROR(__xludf.DUMMYFUNCTION("IF(ISBLANK(E584),""NA"", VLOOKUP(E584,IMPORTRANGE(""https://docs.google.com/spreadsheets/d/1EdCvim__xyxvoo9WoburDTzYylznTCOJBHcnu7eurMw/edit?gid=15948134#gid=15948134"", ""Technique!A1:B2000""),2,FALSE()))"),"apply stemming, Krovetz || apply stemming, Porter || no appls stemming ")</f>
        <v>apply stemming, Krovetz || apply stemming, Porter || no appls stemming </v>
      </c>
      <c r="L584" s="8" t="str">
        <f>IFERROR(__xludf.DUMMYFUNCTION("IF(ISBLANK(D584),""NA"", VLOOKUP(D584,IMPORTRANGE(""https://docs.google.com/spreadsheets/d/1EdCvim__xyxvoo9WoburDTzYylznTCOJBHcnu7eurMw/edit?gid=15948134#gid=15948134"", ""Input!A1:B2000""),2,FALSE()))"),"textual data (bug reports) + textual data (i.e., code data)")</f>
        <v>textual data (bug reports) + textual data (i.e., code data)</v>
      </c>
    </row>
    <row r="585" hidden="1">
      <c r="A585" s="1" t="s">
        <v>1862</v>
      </c>
      <c r="B585" s="1" t="s">
        <v>1883</v>
      </c>
      <c r="C585" s="1" t="s">
        <v>1879</v>
      </c>
      <c r="D585" s="1" t="s">
        <v>1864</v>
      </c>
      <c r="E585" s="16" t="s">
        <v>1760</v>
      </c>
      <c r="F585" s="14" t="s">
        <v>1884</v>
      </c>
      <c r="G585" s="1" t="s">
        <v>20</v>
      </c>
      <c r="H585" s="15" t="s">
        <v>1867</v>
      </c>
      <c r="J585" s="8" t="str">
        <f>IFERROR(__xludf.DUMMYFUNCTION("IF(ISBLANK(F585),""NA"", VLOOKUP(F585,IMPORTRANGE(""https://docs.google.com/spreadsheets/d/1EdCvim__xyxvoo9WoburDTzYylznTCOJBHcnu7eurMw/edit?gid=15948134#gid=15948134"", ""Purpose!A1:B1000""),2,FALSE()))"),"to identify common words and subsequently remove them")</f>
        <v>to identify common words and subsequently remove them</v>
      </c>
      <c r="K585" s="8" t="str">
        <f>IFERROR(__xludf.DUMMYFUNCTION("IF(ISBLANK(E585),""NA"", VLOOKUP(E585,IMPORTRANGE(""https://docs.google.com/spreadsheets/d/1EdCvim__xyxvoo9WoburDTzYylznTCOJBHcnu7eurMw/edit?gid=15948134#gid=15948134"", ""Technique!A1:B2000""),2,FALSE()))"),"use TF-IDF")</f>
        <v>use TF-IDF</v>
      </c>
      <c r="L585" s="8" t="str">
        <f>IFERROR(__xludf.DUMMYFUNCTION("IF(ISBLANK(D585),""NA"", VLOOKUP(D585,IMPORTRANGE(""https://docs.google.com/spreadsheets/d/1EdCvim__xyxvoo9WoburDTzYylznTCOJBHcnu7eurMw/edit?gid=15948134#gid=15948134"", ""Input!A1:B2000""),2,FALSE()))"),"textual data (bug reports) + textual data (i.e., code data)")</f>
        <v>textual data (bug reports) + textual data (i.e., code data)</v>
      </c>
    </row>
    <row r="586" hidden="1">
      <c r="A586" s="1" t="s">
        <v>1862</v>
      </c>
      <c r="B586" s="1" t="s">
        <v>1885</v>
      </c>
      <c r="C586" s="1" t="s">
        <v>1886</v>
      </c>
      <c r="D586" s="1" t="s">
        <v>1887</v>
      </c>
      <c r="E586" s="14" t="s">
        <v>1888</v>
      </c>
      <c r="F586" s="14" t="s">
        <v>1889</v>
      </c>
      <c r="G586" s="1" t="s">
        <v>39</v>
      </c>
      <c r="H586" s="15" t="s">
        <v>1867</v>
      </c>
      <c r="J586" s="8" t="str">
        <f>IFERROR(__xludf.DUMMYFUNCTION("IF(ISBLANK(F586),""NA"", VLOOKUP(F586,IMPORTRANGE(""https://docs.google.com/spreadsheets/d/1EdCvim__xyxvoo9WoburDTzYylznTCOJBHcnu7eurMw/edit?gid=15948134#gid=15948134"", ""Purpose!A1:B1000""),2,FALSE()))"),"to evaluate model(s), when working with time sensitive data")</f>
        <v>to evaluate model(s), when working with time sensitive data</v>
      </c>
      <c r="K586" s="8" t="str">
        <f>IFERROR(__xludf.DUMMYFUNCTION("IF(ISBLANK(E586),""NA"", VLOOKUP(E586,IMPORTRANGE(""https://docs.google.com/spreadsheets/d/1EdCvim__xyxvoo9WoburDTzYylznTCOJBHcnu7eurMw/edit?gid=15948134#gid=15948134"", ""Technique!A1:B2000""),2,FALSE()))"),"cross validation, time aware")</f>
        <v>cross validation, time aware</v>
      </c>
      <c r="L586" s="8" t="str">
        <f>IFERROR(__xludf.DUMMYFUNCTION("IF(ISBLANK(D586),""NA"", VLOOKUP(D586,IMPORTRANGE(""https://docs.google.com/spreadsheets/d/1EdCvim__xyxvoo9WoburDTzYylznTCOJBHcnu7eurMw/edit?gid=15948134#gid=15948134"", ""Input!A1:B2000""),2,FALSE()))"),"data + model(s)")</f>
        <v>data + model(s)</v>
      </c>
    </row>
    <row r="587" hidden="1">
      <c r="A587" s="1" t="s">
        <v>1862</v>
      </c>
      <c r="B587" s="1" t="s">
        <v>218</v>
      </c>
      <c r="C587" s="1" t="s">
        <v>1890</v>
      </c>
      <c r="D587" s="1" t="s">
        <v>503</v>
      </c>
      <c r="E587" s="14" t="s">
        <v>540</v>
      </c>
      <c r="F587" s="14" t="s">
        <v>541</v>
      </c>
      <c r="G587" s="1" t="s">
        <v>39</v>
      </c>
      <c r="H587" s="15" t="s">
        <v>1867</v>
      </c>
      <c r="J587" s="8" t="str">
        <f>IFERROR(__xludf.DUMMYFUNCTION("IF(ISBLANK(F587),""NA"", VLOOKUP(F587,IMPORTRANGE(""https://docs.google.com/spreadsheets/d/1EdCvim__xyxvoo9WoburDTzYylznTCOJBHcnu7eurMw/edit?gid=15948134#gid=15948134"", ""Purpose!A1:B1000""),2,FALSE()))"),"to understand the model(s) sensitivity of different hyperparameters")</f>
        <v>to understand the model(s) sensitivity of different hyperparameters</v>
      </c>
      <c r="K587" s="8" t="str">
        <f>IFERROR(__xludf.DUMMYFUNCTION("IF(ISBLANK(E587),""NA"", VLOOKUP(E587,IMPORTRANGE(""https://docs.google.com/spreadsheets/d/1EdCvim__xyxvoo9WoburDTzYylznTCOJBHcnu7eurMw/edit?gid=15948134#gid=15948134"", ""Technique!A1:B2000""),2,FALSE()))"),"perform hyperparameter sensitivity analysis")</f>
        <v>perform hyperparameter sensitivity analysis</v>
      </c>
      <c r="L587" s="8" t="str">
        <f>IFERROR(__xludf.DUMMYFUNCTION("IF(ISBLANK(D587),""NA"", VLOOKUP(D587,IMPORTRANGE(""https://docs.google.com/spreadsheets/d/1EdCvim__xyxvoo9WoburDTzYylznTCOJBHcnu7eurMw/edit?gid=15948134#gid=15948134"", ""Input!A1:B2000""),2,FALSE()))"),"model(s)")</f>
        <v>model(s)</v>
      </c>
    </row>
    <row r="588" hidden="1">
      <c r="A588" s="1" t="s">
        <v>1862</v>
      </c>
      <c r="B588" s="1">
        <v>20.0</v>
      </c>
      <c r="C588" s="8" t="s">
        <v>1891</v>
      </c>
      <c r="E588" s="9" t="s">
        <v>1386</v>
      </c>
      <c r="F588" s="9" t="s">
        <v>1892</v>
      </c>
      <c r="G588" s="8" t="s">
        <v>39</v>
      </c>
      <c r="H588" s="10" t="s">
        <v>1867</v>
      </c>
      <c r="J588" s="8" t="str">
        <f>IFERROR(__xludf.DUMMYFUNCTION("IF(ISBLANK(F588),""NA"", VLOOKUP(F588,IMPORTRANGE(""https://docs.google.com/spreadsheets/d/1EdCvim__xyxvoo9WoburDTzYylznTCOJBHcnu7eurMw/edit?gid=15948134#gid=15948134"", ""Purpose!A1:B1000""),2,FALSE()))"),"to visualize results (i.e., sensitivity analysis)")</f>
        <v>to visualize results (i.e., sensitivity analysis)</v>
      </c>
      <c r="K588" s="8" t="str">
        <f>IFERROR(__xludf.DUMMYFUNCTION("IF(ISBLANK(E588),""NA"", VLOOKUP(E588,IMPORTRANGE(""https://docs.google.com/spreadsheets/d/1EdCvim__xyxvoo9WoburDTzYylznTCOJBHcnu7eurMw/edit?gid=15948134#gid=15948134"", ""Technique!A1:B2000""),2,FALSE()))"),"plot results (i.e., line-charts)")</f>
        <v>plot results (i.e., line-charts)</v>
      </c>
      <c r="L588" s="8" t="str">
        <f>IFERROR(__xludf.DUMMYFUNCTION("IF(ISBLANK(D588),""NA"", VLOOKUP(D588,IMPORTRANGE(""https://docs.google.com/spreadsheets/d/1EdCvim__xyxvoo9WoburDTzYylznTCOJBHcnu7eurMw/edit?gid=15948134#gid=15948134"", ""Input!A1:B2000""),2,FALSE()))"),"NA")</f>
        <v>NA</v>
      </c>
    </row>
    <row r="589" hidden="1">
      <c r="A589" s="1" t="s">
        <v>1862</v>
      </c>
      <c r="B589" s="1" t="s">
        <v>1893</v>
      </c>
      <c r="C589" s="1" t="s">
        <v>1891</v>
      </c>
      <c r="E589" s="14" t="s">
        <v>1894</v>
      </c>
      <c r="F589" s="14" t="s">
        <v>364</v>
      </c>
      <c r="G589" s="1" t="s">
        <v>39</v>
      </c>
      <c r="H589" s="15" t="s">
        <v>1867</v>
      </c>
      <c r="J589" s="8" t="str">
        <f>IFERROR(__xludf.DUMMYFUNCTION("IF(ISBLANK(F589),""NA"", VLOOKUP(F589,IMPORTRANGE(""https://docs.google.com/spreadsheets/d/1EdCvim__xyxvoo9WoburDTzYylznTCOJBHcnu7eurMw/edit?gid=15948134#gid=15948134"", ""Purpose!A1:B1000""),2,FALSE()))"),"to evaluate model(s) functionally (e.g., accuracy) against others")</f>
        <v>to evaluate model(s) functionally (e.g., accuracy) against others</v>
      </c>
      <c r="K589" s="8" t="str">
        <f>IFERROR(__xludf.DUMMYFUNCTION("IF(ISBLANK(E589),""NA"", VLOOKUP(E589,IMPORTRANGE(""https://docs.google.com/spreadsheets/d/1EdCvim__xyxvoo9WoburDTzYylznTCOJBHcnu7eurMw/edit?gid=15948134#gid=15948134"", ""Technique!A1:B2000""),2,FALSE()))"),"compare with baseline model(s), state-of-the-art baselines shallow learning (SVM, LDA)")</f>
        <v>compare with baseline model(s), state-of-the-art baselines shallow learning (SVM, LDA)</v>
      </c>
      <c r="L589" s="8" t="str">
        <f>IFERROR(__xludf.DUMMYFUNCTION("IF(ISBLANK(D589),""NA"", VLOOKUP(D589,IMPORTRANGE(""https://docs.google.com/spreadsheets/d/1EdCvim__xyxvoo9WoburDTzYylznTCOJBHcnu7eurMw/edit?gid=15948134#gid=15948134"", ""Input!A1:B2000""),2,FALSE()))"),"NA")</f>
        <v>NA</v>
      </c>
    </row>
    <row r="590" hidden="1">
      <c r="A590" s="1" t="s">
        <v>1862</v>
      </c>
      <c r="B590" s="1">
        <v>22.0</v>
      </c>
      <c r="C590" s="8" t="s">
        <v>1891</v>
      </c>
      <c r="D590" s="1" t="s">
        <v>1895</v>
      </c>
      <c r="E590" s="9" t="s">
        <v>1386</v>
      </c>
      <c r="F590" s="9" t="s">
        <v>1896</v>
      </c>
      <c r="G590" s="8" t="s">
        <v>39</v>
      </c>
      <c r="H590" s="10" t="s">
        <v>1867</v>
      </c>
      <c r="J590" s="8" t="str">
        <f>IFERROR(__xludf.DUMMYFUNCTION("IF(ISBLANK(F590),""NA"", VLOOKUP(F590,IMPORTRANGE(""https://docs.google.com/spreadsheets/d/1EdCvim__xyxvoo9WoburDTzYylznTCOJBHcnu7eurMw/edit?gid=15948134#gid=15948134"", ""Purpose!A1:B1000""),2,FALSE()))"),"to evaluate model(s) functionally (e.g., accuracy)")</f>
        <v>to evaluate model(s) functionally (e.g., accuracy)</v>
      </c>
      <c r="K590" s="8" t="str">
        <f>IFERROR(__xludf.DUMMYFUNCTION("IF(ISBLANK(E590),""NA"", VLOOKUP(E590,IMPORTRANGE(""https://docs.google.com/spreadsheets/d/1EdCvim__xyxvoo9WoburDTzYylznTCOJBHcnu7eurMw/edit?gid=15948134#gid=15948134"", ""Technique!A1:B2000""),2,FALSE()))"),"plot results (i.e., line-charts)")</f>
        <v>plot results (i.e., line-charts)</v>
      </c>
      <c r="L590" s="8" t="str">
        <f>IFERROR(__xludf.DUMMYFUNCTION("IF(ISBLANK(D590),""NA"", VLOOKUP(D590,IMPORTRANGE(""https://docs.google.com/spreadsheets/d/1EdCvim__xyxvoo9WoburDTzYylznTCOJBHcnu7eurMw/edit?gid=15948134#gid=15948134"", ""Input!A1:B2000""),2,FALSE()))"),"data + model(s)")</f>
        <v>data + model(s)</v>
      </c>
    </row>
    <row r="591" hidden="1">
      <c r="A591" s="1" t="s">
        <v>1862</v>
      </c>
      <c r="B591" s="1" t="s">
        <v>1897</v>
      </c>
      <c r="C591" s="1" t="s">
        <v>1898</v>
      </c>
      <c r="D591" s="1" t="s">
        <v>1899</v>
      </c>
      <c r="E591" s="14" t="s">
        <v>1900</v>
      </c>
      <c r="F591" s="14" t="s">
        <v>358</v>
      </c>
      <c r="G591" s="1" t="s">
        <v>39</v>
      </c>
      <c r="H591" s="15" t="s">
        <v>1867</v>
      </c>
      <c r="J591" s="8" t="str">
        <f>IFERROR(__xludf.DUMMYFUNCTION("IF(ISBLANK(F591),""NA"", VLOOKUP(F591,IMPORTRANGE(""https://docs.google.com/spreadsheets/d/1EdCvim__xyxvoo9WoburDTzYylznTCOJBHcnu7eurMw/edit?gid=15948134#gid=15948134"", ""Purpose!A1:B1000""),2,FALSE()))"),"to evaluate model(s) functionally (e.g., accuracy)")</f>
        <v>to evaluate model(s) functionally (e.g., accuracy)</v>
      </c>
      <c r="K591" s="8" t="str">
        <f>IFERROR(__xludf.DUMMYFUNCTION("IF(ISBLANK(E591),""NA"", VLOOKUP(E591,IMPORTRANGE(""https://docs.google.com/spreadsheets/d/1EdCvim__xyxvoo9WoburDTzYylznTCOJBHcnu7eurMw/edit?gid=15948134#gid=15948134"", ""Technique!A1:B2000""),2,FALSE()))"),"compute metrics (i.e., intersection between top ranked and golden set)")</f>
        <v>compute metrics (i.e., intersection between top ranked and golden set)</v>
      </c>
      <c r="L591" s="8" t="str">
        <f>IFERROR(__xludf.DUMMYFUNCTION("IF(ISBLANK(D591),""NA"", VLOOKUP(D591,IMPORTRANGE(""https://docs.google.com/spreadsheets/d/1EdCvim__xyxvoo9WoburDTzYylznTCOJBHcnu7eurMw/edit?gid=15948134#gid=15948134"", ""Input!A1:B2000""),2,FALSE()))"),"data (test set), textual data (trace links) + model(s)' output, trace links")</f>
        <v>data (test set), textual data (trace links) + model(s)' output, trace links</v>
      </c>
    </row>
    <row r="592" hidden="1">
      <c r="A592" s="23" t="s">
        <v>1901</v>
      </c>
      <c r="B592" s="1" t="s">
        <v>1902</v>
      </c>
      <c r="C592" s="1" t="s">
        <v>1903</v>
      </c>
      <c r="D592" s="1" t="s">
        <v>1904</v>
      </c>
      <c r="E592" s="14" t="s">
        <v>1905</v>
      </c>
      <c r="F592" s="14" t="s">
        <v>1906</v>
      </c>
      <c r="G592" s="1" t="s">
        <v>14</v>
      </c>
      <c r="H592" s="15" t="s">
        <v>806</v>
      </c>
      <c r="J592" s="8" t="str">
        <f>IFERROR(__xludf.DUMMYFUNCTION("IF(ISBLANK(F592),""NA"", VLOOKUP(F592,IMPORTRANGE(""https://docs.google.com/spreadsheets/d/1EdCvim__xyxvoo9WoburDTzYylznTCOJBHcnu7eurMw/edit?gid=15948134#gid=15948134"", ""Purpose!A1:B1000""),2,FALSE()))"),"to train a model for learning representations (i.e., embed semantic features from code data)")</f>
        <v>to train a model for learning representations (i.e., embed semantic features from code data)</v>
      </c>
      <c r="K592" s="8" t="str">
        <f>IFERROR(__xludf.DUMMYFUNCTION("IF(ISBLANK(E592),""NA"", VLOOKUP(E592,IMPORTRANGE(""https://docs.google.com/spreadsheets/d/1EdCvim__xyxvoo9WoburDTzYylznTCOJBHcnu7eurMw/edit?gid=15948134#gid=15948134"", ""Technique!A1:B2000""),2,FALSE()))"),"use deep belief network")</f>
        <v>use deep belief network</v>
      </c>
      <c r="L592" s="8" t="str">
        <f>IFERROR(__xludf.DUMMYFUNCTION("IF(ISBLANK(D592),""NA"", VLOOKUP(D592,IMPORTRANGE(""https://docs.google.com/spreadsheets/d/1EdCvim__xyxvoo9WoburDTzYylznTCOJBHcnu7eurMw/edit?gid=15948134#gid=15948134"", ""Input!A1:B2000""),2,FALSE()))"),"data (training set), token representation (abstract system tree)")</f>
        <v>data (training set), token representation (abstract system tree)</v>
      </c>
    </row>
    <row r="593" hidden="1">
      <c r="A593" s="23" t="s">
        <v>1901</v>
      </c>
      <c r="B593" s="1">
        <v>14.0</v>
      </c>
      <c r="C593" s="1" t="s">
        <v>1907</v>
      </c>
      <c r="D593" s="1" t="s">
        <v>1908</v>
      </c>
      <c r="E593" s="14" t="s">
        <v>1909</v>
      </c>
      <c r="F593" s="14" t="s">
        <v>1910</v>
      </c>
      <c r="G593" s="1" t="s">
        <v>14</v>
      </c>
      <c r="H593" s="15" t="s">
        <v>806</v>
      </c>
      <c r="J593" s="8" t="str">
        <f>IFERROR(__xludf.DUMMYFUNCTION("IF(ISBLANK(F593),""NA"", VLOOKUP(F593,IMPORTRANGE(""https://docs.google.com/spreadsheets/d/1EdCvim__xyxvoo9WoburDTzYylznTCOJBHcnu7eurMw/edit?gid=15948134#gid=15948134"", ""Purpose!A1:B1000""),2,FALSE()))"),"to compute features from code data (i.e., code snippets)")</f>
        <v>to compute features from code data (i.e., code snippets)</v>
      </c>
      <c r="K593" s="8" t="str">
        <f>IFERROR(__xludf.DUMMYFUNCTION("IF(ISBLANK(E593),""NA"", VLOOKUP(E593,IMPORTRANGE(""https://docs.google.com/spreadsheets/d/1EdCvim__xyxvoo9WoburDTzYylznTCOJBHcnu7eurMw/edit?gid=15948134#gid=15948134"", ""Technique!A1:B2000""),2,FALSE()))"),"convert code data into vector representation of tokens, preserving structural and contextual information")</f>
        <v>convert code data into vector representation of tokens, preserving structural and contextual information</v>
      </c>
      <c r="L593" s="8" t="str">
        <f>IFERROR(__xludf.DUMMYFUNCTION("IF(ISBLANK(D593),""NA"", VLOOKUP(D593,IMPORTRANGE(""https://docs.google.com/spreadsheets/d/1EdCvim__xyxvoo9WoburDTzYylznTCOJBHcnu7eurMw/edit?gid=15948134#gid=15948134"", ""Input!A1:B2000""),2,FALSE()))"),"code data (faulty code)")</f>
        <v>code data (faulty code)</v>
      </c>
    </row>
    <row r="594" hidden="1">
      <c r="A594" s="23" t="s">
        <v>1901</v>
      </c>
      <c r="B594" s="1">
        <v>1.0</v>
      </c>
      <c r="C594" s="1" t="s">
        <v>1911</v>
      </c>
      <c r="D594" s="1" t="s">
        <v>1908</v>
      </c>
      <c r="E594" s="9" t="s">
        <v>1912</v>
      </c>
      <c r="F594" s="14" t="s">
        <v>1913</v>
      </c>
      <c r="G594" s="1" t="s">
        <v>14</v>
      </c>
      <c r="H594" s="15" t="s">
        <v>806</v>
      </c>
      <c r="J594" s="8" t="str">
        <f>IFERROR(__xludf.DUMMYFUNCTION("IF(ISBLANK(F594),""NA"", VLOOKUP(F594,IMPORTRANGE(""https://docs.google.com/spreadsheets/d/1EdCvim__xyxvoo9WoburDTzYylznTCOJBHcnu7eurMw/edit?gid=15948134#gid=15948134"", ""Purpose!A1:B1000""),2,FALSE()))"),"to extract features, syntactic features")</f>
        <v>to extract features, syntactic features</v>
      </c>
      <c r="K594" s="8" t="str">
        <f>IFERROR(__xludf.DUMMYFUNCTION("IF(ISBLANK(E594),""NA"", VLOOKUP(E594,IMPORTRANGE(""https://docs.google.com/spreadsheets/d/1EdCvim__xyxvoo9WoburDTzYylznTCOJBHcnu7eurMw/edit?gid=15948134#gid=15948134"", ""Technique!A1:B2000""),2,FALSE()))"),"extract code data types from AST nodes")</f>
        <v>extract code data types from AST nodes</v>
      </c>
      <c r="L594" s="8" t="str">
        <f>IFERROR(__xludf.DUMMYFUNCTION("IF(ISBLANK(D594),""NA"", VLOOKUP(D594,IMPORTRANGE(""https://docs.google.com/spreadsheets/d/1EdCvim__xyxvoo9WoburDTzYylznTCOJBHcnu7eurMw/edit?gid=15948134#gid=15948134"", ""Input!A1:B2000""),2,FALSE()))"),"code data (faulty code)")</f>
        <v>code data (faulty code)</v>
      </c>
    </row>
    <row r="595" hidden="1">
      <c r="A595" s="23" t="s">
        <v>1901</v>
      </c>
      <c r="B595" s="1" t="s">
        <v>208</v>
      </c>
      <c r="C595" s="1" t="s">
        <v>1914</v>
      </c>
      <c r="D595" s="1" t="s">
        <v>1908</v>
      </c>
      <c r="E595" s="16" t="s">
        <v>1915</v>
      </c>
      <c r="F595" s="9" t="s">
        <v>1916</v>
      </c>
      <c r="G595" s="8" t="s">
        <v>20</v>
      </c>
      <c r="H595" s="15" t="s">
        <v>806</v>
      </c>
      <c r="J595" s="8" t="str">
        <f>IFERROR(__xludf.DUMMYFUNCTION("IF(ISBLANK(F595),""NA"", VLOOKUP(F595,IMPORTRANGE(""https://docs.google.com/spreadsheets/d/1EdCvim__xyxvoo9WoburDTzYylznTCOJBHcnu7eurMw/edit?gid=15948134#gid=15948134"", ""Purpose!A1:B1000""),2,FALSE()))"),"to identify and subsequently remove mislabeled data")</f>
        <v>to identify and subsequently remove mislabeled data</v>
      </c>
      <c r="K595" s="8" t="str">
        <f>IFERROR(__xludf.DUMMYFUNCTION("IF(ISBLANK(E595),""NA"", VLOOKUP(E595,IMPORTRANGE(""https://docs.google.com/spreadsheets/d/1EdCvim__xyxvoo9WoburDTzYylznTCOJBHcnu7eurMw/edit?gid=15948134#gid=15948134"", ""Technique!A1:B2000""),2,FALSE()))"),"clean noise, Closest List Noise Identiﬁcation (CLNI) based on edit distance similarity")</f>
        <v>clean noise, Closest List Noise Identiﬁcation (CLNI) based on edit distance similarity</v>
      </c>
      <c r="L595" s="8" t="str">
        <f>IFERROR(__xludf.DUMMYFUNCTION("IF(ISBLANK(D595),""NA"", VLOOKUP(D595,IMPORTRANGE(""https://docs.google.com/spreadsheets/d/1EdCvim__xyxvoo9WoburDTzYylznTCOJBHcnu7eurMw/edit?gid=15948134#gid=15948134"", ""Input!A1:B2000""),2,FALSE()))"),"code data (faulty code)")</f>
        <v>code data (faulty code)</v>
      </c>
    </row>
    <row r="596" hidden="1">
      <c r="A596" s="23" t="s">
        <v>1901</v>
      </c>
      <c r="B596" s="1" t="s">
        <v>213</v>
      </c>
      <c r="C596" s="1" t="s">
        <v>1914</v>
      </c>
      <c r="D596" s="1" t="s">
        <v>1908</v>
      </c>
      <c r="E596" s="12" t="s">
        <v>1917</v>
      </c>
      <c r="F596" s="9" t="s">
        <v>1918</v>
      </c>
      <c r="G596" s="8" t="s">
        <v>20</v>
      </c>
      <c r="H596" s="15" t="s">
        <v>806</v>
      </c>
      <c r="J596" s="8" t="str">
        <f>IFERROR(__xludf.DUMMYFUNCTION("IF(ISBLANK(F596),""NA"", VLOOKUP(F596,IMPORTRANGE(""https://docs.google.com/spreadsheets/d/1EdCvim__xyxvoo9WoburDTzYylznTCOJBHcnu7eurMw/edit?gid=15948134#gid=15948134"", ""Purpose!A1:B1000""),2,FALSE()))"),"to ensure that the model is capable of generalize")</f>
        <v>to ensure that the model is capable of generalize</v>
      </c>
      <c r="K596" s="8" t="str">
        <f>IFERROR(__xludf.DUMMYFUNCTION("IF(ISBLANK(E596),""NA"", VLOOKUP(E596,IMPORTRANGE(""https://docs.google.com/spreadsheets/d/1EdCvim__xyxvoo9WoburDTzYylznTCOJBHcnu7eurMw/edit?gid=15948134#gid=15948134"", ""Technique!A1:B2000""),2,FALSE()))"),"filter out based on frequency (i.e., infrequent AST nodes)")</f>
        <v>filter out based on frequency (i.e., infrequent AST nodes)</v>
      </c>
      <c r="L596" s="8" t="str">
        <f>IFERROR(__xludf.DUMMYFUNCTION("IF(ISBLANK(D596),""NA"", VLOOKUP(D596,IMPORTRANGE(""https://docs.google.com/spreadsheets/d/1EdCvim__xyxvoo9WoburDTzYylznTCOJBHcnu7eurMw/edit?gid=15948134#gid=15948134"", ""Input!A1:B2000""),2,FALSE()))"),"code data (faulty code)")</f>
        <v>code data (faulty code)</v>
      </c>
    </row>
    <row r="597" hidden="1">
      <c r="A597" s="23" t="s">
        <v>1901</v>
      </c>
      <c r="B597" s="1" t="s">
        <v>1919</v>
      </c>
      <c r="C597" s="1" t="s">
        <v>1920</v>
      </c>
      <c r="D597" s="8" t="s">
        <v>1921</v>
      </c>
      <c r="E597" s="9" t="s">
        <v>1922</v>
      </c>
      <c r="F597" s="9" t="s">
        <v>1923</v>
      </c>
      <c r="G597" s="8" t="s">
        <v>14</v>
      </c>
      <c r="H597" s="15" t="s">
        <v>806</v>
      </c>
      <c r="J597" s="8" t="str">
        <f>IFERROR(__xludf.DUMMYFUNCTION("IF(ISBLANK(F597),""NA"", VLOOKUP(F597,IMPORTRANGE(""https://docs.google.com/spreadsheets/d/1EdCvim__xyxvoo9WoburDTzYylznTCOJBHcnu7eurMw/edit?gid=15948134#gid=15948134"", ""Purpose!A1:B1000""),2,FALSE()))"),"to embed textual data into numerical vectors")</f>
        <v>to embed textual data into numerical vectors</v>
      </c>
      <c r="K597" s="8" t="str">
        <f>IFERROR(__xludf.DUMMYFUNCTION("IF(ISBLANK(E597),""NA"", VLOOKUP(E597,IMPORTRANGE(""https://docs.google.com/spreadsheets/d/1EdCvim__xyxvoo9WoburDTzYylznTCOJBHcnu7eurMw/edit?gid=15948134#gid=15948134"", ""Technique!A1:B2000""),2,FALSE()))"),"encode token into unique integers (vectors)")</f>
        <v>encode token into unique integers (vectors)</v>
      </c>
      <c r="L597" s="8" t="str">
        <f>IFERROR(__xludf.DUMMYFUNCTION("IF(ISBLANK(D597),""NA"", VLOOKUP(D597,IMPORTRANGE(""https://docs.google.com/spreadsheets/d/1EdCvim__xyxvoo9WoburDTzYylznTCOJBHcnu7eurMw/edit?gid=15948134#gid=15948134"", ""Input!A1:B2000""),2,FALSE()))"),"token representation")</f>
        <v>token representation</v>
      </c>
    </row>
    <row r="598" hidden="1">
      <c r="A598" s="23" t="s">
        <v>1901</v>
      </c>
      <c r="B598" s="1">
        <v>19.0</v>
      </c>
      <c r="C598" s="1" t="s">
        <v>1920</v>
      </c>
      <c r="D598" s="8" t="s">
        <v>1924</v>
      </c>
      <c r="E598" s="12" t="s">
        <v>1925</v>
      </c>
      <c r="F598" s="14" t="s">
        <v>1926</v>
      </c>
      <c r="G598" s="1" t="s">
        <v>14</v>
      </c>
      <c r="H598" s="15" t="s">
        <v>806</v>
      </c>
      <c r="J598" s="8" t="str">
        <f>IFERROR(__xludf.DUMMYFUNCTION("IF(ISBLANK(F598),""NA"", VLOOKUP(F598,IMPORTRANGE(""https://docs.google.com/spreadsheets/d/1EdCvim__xyxvoo9WoburDTzYylznTCOJBHcnu7eurMw/edit?gid=15948134#gid=15948134"", ""Purpose!A1:B1000""),2,FALSE()))"),"to homogenize the lengths of the vectors + to transform the data into the required input")</f>
        <v>to homogenize the lengths of the vectors + to transform the data into the required input</v>
      </c>
      <c r="K598" s="8" t="str">
        <f>IFERROR(__xludf.DUMMYFUNCTION("IF(ISBLANK(E598),""NA"", VLOOKUP(E598,IMPORTRANGE(""https://docs.google.com/spreadsheets/d/1EdCvim__xyxvoo9WoburDTzYylznTCOJBHcnu7eurMw/edit?gid=15948134#gid=15948134"", ""Technique!A1:B2000""),2,FALSE()))"),"padding (i.e., add 0 at the end)")</f>
        <v>padding (i.e., add 0 at the end)</v>
      </c>
      <c r="L598" s="8" t="str">
        <f>IFERROR(__xludf.DUMMYFUNCTION("IF(ISBLANK(D598),""NA"", VLOOKUP(D598,IMPORTRANGE(""https://docs.google.com/spreadsheets/d/1EdCvim__xyxvoo9WoburDTzYylznTCOJBHcnu7eurMw/edit?gid=15948134#gid=15948134"", ""Input!A1:B2000""),2,FALSE()))"),"vector representation (abstract syntax tree)")</f>
        <v>vector representation (abstract syntax tree)</v>
      </c>
    </row>
    <row r="599" hidden="1">
      <c r="A599" s="23" t="s">
        <v>1901</v>
      </c>
      <c r="B599" s="1" t="s">
        <v>1927</v>
      </c>
      <c r="C599" s="1" t="s">
        <v>1928</v>
      </c>
      <c r="D599" s="1" t="s">
        <v>1056</v>
      </c>
      <c r="E599" s="9" t="s">
        <v>1929</v>
      </c>
      <c r="F599" s="9" t="s">
        <v>1930</v>
      </c>
      <c r="G599" s="8" t="s">
        <v>39</v>
      </c>
      <c r="H599" s="15" t="s">
        <v>806</v>
      </c>
      <c r="J599" s="8" t="str">
        <f>IFERROR(__xludf.DUMMYFUNCTION("IF(ISBLANK(F599),""NA"", VLOOKUP(F599,IMPORTRANGE(""https://docs.google.com/spreadsheets/d/1EdCvim__xyxvoo9WoburDTzYylznTCOJBHcnu7eurMw/edit?gid=15948134#gid=15948134"", ""Purpose!A1:B1000""),2,FALSE()))"),"to evaluate model(s) functionally (e.g., accuracy)")</f>
        <v>to evaluate model(s) functionally (e.g., accuracy)</v>
      </c>
      <c r="K599" s="8" t="str">
        <f>IFERROR(__xludf.DUMMYFUNCTION("IF(ISBLANK(E599),""NA"", VLOOKUP(E599,IMPORTRANGE(""https://docs.google.com/spreadsheets/d/1EdCvim__xyxvoo9WoburDTzYylznTCOJBHcnu7eurMw/edit?gid=15948134#gid=15948134"", ""Technique!A1:B2000""),2,FALSE()))"),"compute classical metrics (i.e., Precision, Recall. F-meassure)")</f>
        <v>compute classical metrics (i.e., Precision, Recall. F-meassure)</v>
      </c>
      <c r="L599" s="8" t="str">
        <f>IFERROR(__xludf.DUMMYFUNCTION("IF(ISBLANK(D599),""NA"", VLOOKUP(D599,IMPORTRANGE(""https://docs.google.com/spreadsheets/d/1EdCvim__xyxvoo9WoburDTzYylznTCOJBHcnu7eurMw/edit?gid=15948134#gid=15948134"", ""Input!A1:B2000""),2,FALSE()))"),"data (test set) + model(s)")</f>
        <v>data (test set) + model(s)</v>
      </c>
    </row>
    <row r="600" hidden="1">
      <c r="A600" s="23" t="s">
        <v>1901</v>
      </c>
      <c r="B600" s="1">
        <v>24.0</v>
      </c>
      <c r="C600" s="1" t="s">
        <v>1931</v>
      </c>
      <c r="E600" s="9" t="s">
        <v>1932</v>
      </c>
      <c r="F600" s="9" t="s">
        <v>585</v>
      </c>
      <c r="G600" s="1" t="s">
        <v>44</v>
      </c>
      <c r="H600" s="15" t="s">
        <v>806</v>
      </c>
      <c r="J600" s="8" t="str">
        <f>IFERROR(__xludf.DUMMYFUNCTION("IF(ISBLANK(F600),""NA"", VLOOKUP(F600,IMPORTRANGE(""https://docs.google.com/spreadsheets/d/1EdCvim__xyxvoo9WoburDTzYylznTCOJBHcnu7eurMw/edit?gid=15948134#gid=15948134"", ""Purpose!A1:B1000""),2,FALSE()))"),"to be able to replicate/reproduce a study, research")</f>
        <v>to be able to replicate/reproduce a study, research</v>
      </c>
      <c r="K600" s="8" t="str">
        <f>IFERROR(__xludf.DUMMYFUNCTION("IF(ISBLANK(E600),""NA"", VLOOKUP(E600,IMPORTRANGE(""https://docs.google.com/spreadsheets/d/1EdCvim__xyxvoo9WoburDTzYylznTCOJBHcnu7eurMw/edit?gid=15948134#gid=15948134"", ""Technique!A1:B2000""),2,FALSE()))"),"use repositories (e.g., PROMISE)")</f>
        <v>use repositories (e.g., PROMISE)</v>
      </c>
      <c r="L600" s="8" t="str">
        <f>IFERROR(__xludf.DUMMYFUNCTION("IF(ISBLANK(D600),""NA"", VLOOKUP(D600,IMPORTRANGE(""https://docs.google.com/spreadsheets/d/1EdCvim__xyxvoo9WoburDTzYylznTCOJBHcnu7eurMw/edit?gid=15948134#gid=15948134"", ""Input!A1:B2000""),2,FALSE()))"),"NA")</f>
        <v>NA</v>
      </c>
    </row>
    <row r="601" hidden="1">
      <c r="A601" s="23" t="s">
        <v>1901</v>
      </c>
      <c r="B601" s="1" t="s">
        <v>1933</v>
      </c>
      <c r="C601" s="1" t="s">
        <v>1934</v>
      </c>
      <c r="D601" s="8" t="s">
        <v>1935</v>
      </c>
      <c r="E601" s="9" t="s">
        <v>1936</v>
      </c>
      <c r="F601" s="9" t="s">
        <v>1937</v>
      </c>
      <c r="G601" s="8" t="s">
        <v>39</v>
      </c>
      <c r="H601" s="15" t="s">
        <v>806</v>
      </c>
      <c r="J601" s="8" t="str">
        <f>IFERROR(__xludf.DUMMYFUNCTION("IF(ISBLANK(F601),""NA"", VLOOKUP(F601,IMPORTRANGE(""https://docs.google.com/spreadsheets/d/1EdCvim__xyxvoo9WoburDTzYylznTCOJBHcnu7eurMw/edit?gid=15948134#gid=15948134"", ""Purpose!A1:B1000""),2,FALSE()))"),"to understand how different features affect the model results")</f>
        <v>to understand how different features affect the model results</v>
      </c>
      <c r="K601" s="8" t="str">
        <f>IFERROR(__xludf.DUMMYFUNCTION("IF(ISBLANK(E601),""NA"", VLOOKUP(E601,IMPORTRANGE(""https://docs.google.com/spreadsheets/d/1EdCvim__xyxvoo9WoburDTzYylznTCOJBHcnu7eurMw/edit?gid=15948134#gid=15948134"", ""Technique!A1:B2000""),2,FALSE()))"),"compare with baseline model(s) with traditional features")</f>
        <v>compare with baseline model(s) with traditional features</v>
      </c>
      <c r="L601" s="8" t="str">
        <f>IFERROR(__xludf.DUMMYFUNCTION("IF(ISBLANK(D601),""NA"", VLOOKUP(D601,IMPORTRANGE(""https://docs.google.com/spreadsheets/d/1EdCvim__xyxvoo9WoburDTzYylznTCOJBHcnu7eurMw/edit?gid=15948134#gid=15948134"", ""Input!A1:B2000""),2,FALSE()))"),"data + model(s)")</f>
        <v>data + model(s)</v>
      </c>
    </row>
    <row r="602" hidden="1">
      <c r="A602" s="23" t="s">
        <v>1901</v>
      </c>
      <c r="B602" s="1" t="s">
        <v>1938</v>
      </c>
      <c r="C602" s="1" t="s">
        <v>1939</v>
      </c>
      <c r="D602" s="1" t="s">
        <v>1935</v>
      </c>
      <c r="E602" s="16" t="s">
        <v>1940</v>
      </c>
      <c r="F602" s="14" t="s">
        <v>1941</v>
      </c>
      <c r="G602" s="1" t="s">
        <v>54</v>
      </c>
      <c r="H602" s="15" t="s">
        <v>806</v>
      </c>
      <c r="J602" s="8" t="str">
        <f>IFERROR(__xludf.DUMMYFUNCTION("IF(ISBLANK(F602),""NA"", VLOOKUP(F602,IMPORTRANGE(""https://docs.google.com/spreadsheets/d/1EdCvim__xyxvoo9WoburDTzYylznTCOJBHcnu7eurMw/edit?gid=15948134#gid=15948134"", ""Purpose!A1:B1000""),2,FALSE()))"),"to optimize model(s)")</f>
        <v>to optimize model(s)</v>
      </c>
      <c r="K602" s="8" t="str">
        <f>IFERROR(__xludf.DUMMYFUNCTION("IF(ISBLANK(E602),""NA"", VLOOKUP(E602,IMPORTRANGE(""https://docs.google.com/spreadsheets/d/1EdCvim__xyxvoo9WoburDTzYylznTCOJBHcnu7eurMw/edit?gid=15948134#gid=15948134"", ""Technique!A1:B2000""),2,FALSE()))"),"hyperparameter tuning")</f>
        <v>hyperparameter tuning</v>
      </c>
      <c r="L602" s="8" t="str">
        <f>IFERROR(__xludf.DUMMYFUNCTION("IF(ISBLANK(D602),""NA"", VLOOKUP(D602,IMPORTRANGE(""https://docs.google.com/spreadsheets/d/1EdCvim__xyxvoo9WoburDTzYylznTCOJBHcnu7eurMw/edit?gid=15948134#gid=15948134"", ""Input!A1:B2000""),2,FALSE()))"),"data + model(s)")</f>
        <v>data + model(s)</v>
      </c>
    </row>
    <row r="603" hidden="1">
      <c r="A603" s="23" t="s">
        <v>1901</v>
      </c>
      <c r="B603" s="1" t="s">
        <v>1942</v>
      </c>
      <c r="C603" s="1" t="s">
        <v>1943</v>
      </c>
      <c r="D603" s="1" t="s">
        <v>1944</v>
      </c>
      <c r="E603" s="14" t="s">
        <v>1945</v>
      </c>
      <c r="F603" s="14" t="s">
        <v>1946</v>
      </c>
      <c r="G603" s="1" t="s">
        <v>39</v>
      </c>
      <c r="H603" s="15" t="s">
        <v>806</v>
      </c>
      <c r="J603" s="8" t="str">
        <f>IFERROR(__xludf.DUMMYFUNCTION("IF(ISBLANK(F603),""NA"", VLOOKUP(F603,IMPORTRANGE(""https://docs.google.com/spreadsheets/d/1EdCvim__xyxvoo9WoburDTzYylznTCOJBHcnu7eurMw/edit?gid=15948134#gid=15948134"", ""Purpose!A1:B1000""),2,FALSE()))"),"to understand how semantic features behave in different projects")</f>
        <v>to understand how semantic features behave in different projects</v>
      </c>
      <c r="K603" s="8" t="str">
        <f>IFERROR(__xludf.DUMMYFUNCTION("IF(ISBLANK(E603),""NA"", VLOOKUP(E603,IMPORTRANGE(""https://docs.google.com/spreadsheets/d/1EdCvim__xyxvoo9WoburDTzYylznTCOJBHcnu7eurMw/edit?gid=15948134#gid=15948134"", ""Technique!A1:B2000""),2,FALSE()))"),"use shallow machine learning (ADTree + Naive Bayes + Logistic Regression)")</f>
        <v>use shallow machine learning (ADTree + Naive Bayes + Logistic Regression)</v>
      </c>
      <c r="L603" s="8" t="str">
        <f>IFERROR(__xludf.DUMMYFUNCTION("IF(ISBLANK(D603),""NA"", VLOOKUP(D603,IMPORTRANGE(""https://docs.google.com/spreadsheets/d/1EdCvim__xyxvoo9WoburDTzYylznTCOJBHcnu7eurMw/edit?gid=15948134#gid=15948134"", ""Input!A1:B2000""),2,FALSE()))"),"data + model(s)")</f>
        <v>data + model(s)</v>
      </c>
    </row>
    <row r="604" hidden="1">
      <c r="A604" s="23" t="s">
        <v>1901</v>
      </c>
      <c r="B604" s="1">
        <v>11.0</v>
      </c>
      <c r="C604" s="1" t="s">
        <v>1947</v>
      </c>
      <c r="D604" s="1" t="s">
        <v>1944</v>
      </c>
      <c r="E604" s="14" t="s">
        <v>1948</v>
      </c>
      <c r="F604" s="14" t="s">
        <v>1949</v>
      </c>
      <c r="G604" s="1" t="s">
        <v>44</v>
      </c>
      <c r="H604" s="15" t="s">
        <v>806</v>
      </c>
      <c r="J604" s="8" t="str">
        <f>IFERROR(__xludf.DUMMYFUNCTION("IF(ISBLANK(F604),""NA"", VLOOKUP(F604,IMPORTRANGE(""https://docs.google.com/spreadsheets/d/1EdCvim__xyxvoo9WoburDTzYylznTCOJBHcnu7eurMw/edit?gid=15948134#gid=15948134"", ""Purpose!A1:B1000""),2,FALSE()))"),"to balance the data")</f>
        <v>to balance the data</v>
      </c>
      <c r="K604" s="8" t="str">
        <f>IFERROR(__xludf.DUMMYFUNCTION("IF(ISBLANK(E604),""NA"", VLOOKUP(E604,IMPORTRANGE(""https://docs.google.com/spreadsheets/d/1EdCvim__xyxvoo9WoburDTzYylznTCOJBHcnu7eurMw/edit?gid=15948134#gid=15948134"", ""Technique!A1:B2000""),2,FALSE()))"),"balance data, use SMOTE")</f>
        <v>balance data, use SMOTE</v>
      </c>
      <c r="L604" s="8" t="str">
        <f>IFERROR(__xludf.DUMMYFUNCTION("IF(ISBLANK(D604),""NA"", VLOOKUP(D604,IMPORTRANGE(""https://docs.google.com/spreadsheets/d/1EdCvim__xyxvoo9WoburDTzYylznTCOJBHcnu7eurMw/edit?gid=15948134#gid=15948134"", ""Input!A1:B2000""),2,FALSE()))"),"data + model(s)")</f>
        <v>data + model(s)</v>
      </c>
    </row>
    <row r="605" hidden="1">
      <c r="A605" s="23" t="s">
        <v>1901</v>
      </c>
      <c r="B605" s="1">
        <v>27.0</v>
      </c>
      <c r="C605" s="1" t="s">
        <v>1950</v>
      </c>
      <c r="D605" s="1" t="s">
        <v>1951</v>
      </c>
      <c r="E605" s="14" t="s">
        <v>1952</v>
      </c>
      <c r="F605" s="14" t="s">
        <v>1953</v>
      </c>
      <c r="G605" s="1" t="s">
        <v>39</v>
      </c>
      <c r="H605" s="15" t="s">
        <v>806</v>
      </c>
      <c r="J605" s="8" t="str">
        <f>IFERROR(__xludf.DUMMYFUNCTION("IF(ISBLANK(F605),""NA"", VLOOKUP(F605,IMPORTRANGE(""https://docs.google.com/spreadsheets/d/1EdCvim__xyxvoo9WoburDTzYylznTCOJBHcnu7eurMw/edit?gid=15948134#gid=15948134"", ""Purpose!A1:B1000""),2,FALSE()))"),"to account randomeness of nondeterministic process during training")</f>
        <v>to account randomeness of nondeterministic process during training</v>
      </c>
      <c r="K605" s="8" t="str">
        <f>IFERROR(__xludf.DUMMYFUNCTION("IF(ISBLANK(E605),""NA"", VLOOKUP(E605,IMPORTRANGE(""https://docs.google.com/spreadsheets/d/1EdCvim__xyxvoo9WoburDTzYylznTCOJBHcnu7eurMw/edit?gid=15948134#gid=15948134"", ""Technique!A1:B2000""),2,FALSE()))"),"multiple runs/experiments")</f>
        <v>multiple runs/experiments</v>
      </c>
      <c r="L605" s="8" t="str">
        <f>IFERROR(__xludf.DUMMYFUNCTION("IF(ISBLANK(D605),""NA"", VLOOKUP(D605,IMPORTRANGE(""https://docs.google.com/spreadsheets/d/1EdCvim__xyxvoo9WoburDTzYylznTCOJBHcnu7eurMw/edit?gid=15948134#gid=15948134"", ""Input!A1:B2000""),2,FALSE()))"),"data + model(s)")</f>
        <v>data + model(s)</v>
      </c>
    </row>
    <row r="606" hidden="1">
      <c r="A606" s="23" t="s">
        <v>1901</v>
      </c>
      <c r="B606" s="1">
        <v>28.0</v>
      </c>
      <c r="C606" s="1" t="s">
        <v>1954</v>
      </c>
      <c r="E606" s="14" t="s">
        <v>1955</v>
      </c>
      <c r="F606" s="14" t="s">
        <v>1956</v>
      </c>
      <c r="G606" s="1" t="s">
        <v>39</v>
      </c>
      <c r="H606" s="15" t="s">
        <v>806</v>
      </c>
      <c r="J606" s="8" t="str">
        <f>IFERROR(__xludf.DUMMYFUNCTION("IF(ISBLANK(F606),""NA"", VLOOKUP(F606,IMPORTRANGE(""https://docs.google.com/spreadsheets/d/1EdCvim__xyxvoo9WoburDTzYylznTCOJBHcnu7eurMw/edit?gid=15948134#gid=15948134"", ""Purpose!A1:B1000""),2,FALSE()))"),"to evaluate model(s) functionally (e.g., accuracy)")</f>
        <v>to evaluate model(s) functionally (e.g., accuracy)</v>
      </c>
      <c r="K606" s="8" t="str">
        <f>IFERROR(__xludf.DUMMYFUNCTION("IF(ISBLANK(E606),""NA"", VLOOKUP(E606,IMPORTRANGE(""https://docs.google.com/spreadsheets/d/1EdCvim__xyxvoo9WoburDTzYylznTCOJBHcnu7eurMw/edit?gid=15948134#gid=15948134"", ""Technique!A1:B2000""),2,FALSE()))"),"compute time and memory spaced used")</f>
        <v>compute time and memory spaced used</v>
      </c>
      <c r="L606" s="8" t="str">
        <f>IFERROR(__xludf.DUMMYFUNCTION("IF(ISBLANK(D606),""NA"", VLOOKUP(D606,IMPORTRANGE(""https://docs.google.com/spreadsheets/d/1EdCvim__xyxvoo9WoburDTzYylznTCOJBHcnu7eurMw/edit?gid=15948134#gid=15948134"", ""Input!A1:B2000""),2,FALSE()))"),"NA")</f>
        <v>NA</v>
      </c>
    </row>
    <row r="607" hidden="1">
      <c r="A607" s="23" t="s">
        <v>1901</v>
      </c>
      <c r="B607" s="1" t="s">
        <v>1957</v>
      </c>
      <c r="C607" s="1" t="s">
        <v>1954</v>
      </c>
      <c r="D607" s="1" t="s">
        <v>725</v>
      </c>
      <c r="E607" s="14" t="s">
        <v>1958</v>
      </c>
      <c r="F607" s="14" t="s">
        <v>1956</v>
      </c>
      <c r="G607" s="1" t="s">
        <v>39</v>
      </c>
      <c r="H607" s="15" t="s">
        <v>806</v>
      </c>
      <c r="J607" s="8" t="str">
        <f>IFERROR(__xludf.DUMMYFUNCTION("IF(ISBLANK(F607),""NA"", VLOOKUP(F607,IMPORTRANGE(""https://docs.google.com/spreadsheets/d/1EdCvim__xyxvoo9WoburDTzYylznTCOJBHcnu7eurMw/edit?gid=15948134#gid=15948134"", ""Purpose!A1:B1000""),2,FALSE()))"),"to evaluate model(s) functionally (e.g., accuracy)")</f>
        <v>to evaluate model(s) functionally (e.g., accuracy)</v>
      </c>
      <c r="K607" s="8" t="str">
        <f>IFERROR(__xludf.DUMMYFUNCTION("IF(ISBLANK(E607),""NA"", VLOOKUP(E607,IMPORTRANGE(""https://docs.google.com/spreadsheets/d/1EdCvim__xyxvoo9WoburDTzYylznTCOJBHcnu7eurMw/edit?gid=15948134#gid=15948134"", ""Technique!A1:B2000""),2,FALSE()))"),"compare with baseline model(s), state-of-the-art baselines shallow learning (TCA+)")</f>
        <v>compare with baseline model(s), state-of-the-art baselines shallow learning (TCA+)</v>
      </c>
      <c r="L607" s="8" t="str">
        <f>IFERROR(__xludf.DUMMYFUNCTION("IF(ISBLANK(D607),""NA"", VLOOKUP(D607,IMPORTRANGE(""https://docs.google.com/spreadsheets/d/1EdCvim__xyxvoo9WoburDTzYylznTCOJBHcnu7eurMw/edit?gid=15948134#gid=15948134"", ""Input!A1:B2000""),2,FALSE()))"),"data + model(s)")</f>
        <v>data + model(s)</v>
      </c>
    </row>
    <row r="608" hidden="1">
      <c r="A608" s="23" t="s">
        <v>1959</v>
      </c>
      <c r="B608" s="1">
        <v>1.0</v>
      </c>
      <c r="C608" s="1" t="s">
        <v>1960</v>
      </c>
      <c r="D608" s="1" t="s">
        <v>1961</v>
      </c>
      <c r="E608" s="16" t="s">
        <v>1962</v>
      </c>
      <c r="F608" s="14" t="s">
        <v>1963</v>
      </c>
      <c r="G608" s="1" t="s">
        <v>54</v>
      </c>
      <c r="H608" s="15" t="s">
        <v>1475</v>
      </c>
      <c r="J608" s="8" t="str">
        <f>IFERROR(__xludf.DUMMYFUNCTION("IF(ISBLANK(F608),""NA"", VLOOKUP(F608,IMPORTRANGE(""https://docs.google.com/spreadsheets/d/1EdCvim__xyxvoo9WoburDTzYylznTCOJBHcnu7eurMw/edit?gid=15948134#gid=15948134"", ""Purpose!A1:B1000""),2,FALSE()))"),"to train a model for prediction tasks (i.e., predict performance deviations)")</f>
        <v>to train a model for prediction tasks (i.e., predict performance deviations)</v>
      </c>
      <c r="K608" s="8" t="str">
        <f>IFERROR(__xludf.DUMMYFUNCTION("IF(ISBLANK(E608),""NA"", VLOOKUP(E608,IMPORTRANGE(""https://docs.google.com/spreadsheets/d/1EdCvim__xyxvoo9WoburDTzYylznTCOJBHcnu7eurMw/edit?gid=15948134#gid=15948134"", ""Technique!A1:B2000""),2,FALSE()))"),"compare with baseline model(s), baselines non ml (random sampling with control chart)")</f>
        <v>compare with baseline model(s), baselines non ml (random sampling with control chart)</v>
      </c>
      <c r="L608" s="8" t="str">
        <f>IFERROR(__xludf.DUMMYFUNCTION("IF(ISBLANK(D608),""NA"", VLOOKUP(D608,IMPORTRANGE(""https://docs.google.com/spreadsheets/d/1EdCvim__xyxvoo9WoburDTzYylznTCOJBHcnu7eurMw/edit?gid=15948134#gid=15948134"", ""Input!A1:B2000""),2,FALSE()))"),"numeric data (performance counters)")</f>
        <v>numeric data (performance counters)</v>
      </c>
    </row>
    <row r="609" hidden="1">
      <c r="A609" s="23" t="s">
        <v>1959</v>
      </c>
      <c r="B609" s="1" t="s">
        <v>266</v>
      </c>
      <c r="C609" s="1" t="s">
        <v>1964</v>
      </c>
      <c r="D609" s="1" t="s">
        <v>1961</v>
      </c>
      <c r="E609" s="16" t="s">
        <v>1965</v>
      </c>
      <c r="F609" s="14" t="s">
        <v>1963</v>
      </c>
      <c r="G609" s="1" t="s">
        <v>54</v>
      </c>
      <c r="H609" s="15" t="s">
        <v>1475</v>
      </c>
      <c r="J609" s="8" t="str">
        <f>IFERROR(__xludf.DUMMYFUNCTION("IF(ISBLANK(F609),""NA"", VLOOKUP(F609,IMPORTRANGE(""https://docs.google.com/spreadsheets/d/1EdCvim__xyxvoo9WoburDTzYylznTCOJBHcnu7eurMw/edit?gid=15948134#gid=15948134"", ""Purpose!A1:B1000""),2,FALSE()))"),"to train a model for prediction tasks (i.e., predict performance deviations)")</f>
        <v>to train a model for prediction tasks (i.e., predict performance deviations)</v>
      </c>
      <c r="K609" s="8" t="str">
        <f>IFERROR(__xludf.DUMMYFUNCTION("IF(ISBLANK(E609),""NA"", VLOOKUP(E609,IMPORTRANGE(""https://docs.google.com/spreadsheets/d/1EdCvim__xyxvoo9WoburDTzYylznTCOJBHcnu7eurMw/edit?gid=15948134#gid=15948134"", ""Technique!A1:B2000""),2,FALSE()))"),"compare with baseline model(s), baselines shallow learning (clustering, k-means with control chart)")</f>
        <v>compare with baseline model(s), baselines shallow learning (clustering, k-means with control chart)</v>
      </c>
      <c r="L609" s="8" t="str">
        <f>IFERROR(__xludf.DUMMYFUNCTION("IF(ISBLANK(D609),""NA"", VLOOKUP(D609,IMPORTRANGE(""https://docs.google.com/spreadsheets/d/1EdCvim__xyxvoo9WoburDTzYylznTCOJBHcnu7eurMw/edit?gid=15948134#gid=15948134"", ""Input!A1:B2000""),2,FALSE()))"),"numeric data (performance counters)")</f>
        <v>numeric data (performance counters)</v>
      </c>
    </row>
    <row r="610" hidden="1">
      <c r="A610" s="23" t="s">
        <v>1959</v>
      </c>
      <c r="B610" s="1" t="s">
        <v>493</v>
      </c>
      <c r="C610" s="1" t="s">
        <v>1966</v>
      </c>
      <c r="D610" s="1" t="s">
        <v>1961</v>
      </c>
      <c r="E610" s="16" t="s">
        <v>1967</v>
      </c>
      <c r="F610" s="14" t="s">
        <v>1963</v>
      </c>
      <c r="G610" s="1" t="s">
        <v>54</v>
      </c>
      <c r="H610" s="15" t="s">
        <v>1475</v>
      </c>
      <c r="J610" s="8" t="str">
        <f>IFERROR(__xludf.DUMMYFUNCTION("IF(ISBLANK(F610),""NA"", VLOOKUP(F610,IMPORTRANGE(""https://docs.google.com/spreadsheets/d/1EdCvim__xyxvoo9WoburDTzYylznTCOJBHcnu7eurMw/edit?gid=15948134#gid=15948134"", ""Purpose!A1:B1000""),2,FALSE()))"),"to train a model for prediction tasks (i.e., predict performance deviations)")</f>
        <v>to train a model for prediction tasks (i.e., predict performance deviations)</v>
      </c>
      <c r="K610" s="8" t="str">
        <f>IFERROR(__xludf.DUMMYFUNCTION("IF(ISBLANK(E610),""NA"", VLOOKUP(E610,IMPORTRANGE(""https://docs.google.com/spreadsheets/d/1EdCvim__xyxvoo9WoburDTzYylznTCOJBHcnu7eurMw/edit?gid=15948134#gid=15948134"", ""Technique!A1:B2000""),2,FALSE()))"),"compare with baseline model(s), baselines shallow learning (use PCA with PCA weights)")</f>
        <v>compare with baseline model(s), baselines shallow learning (use PCA with PCA weights)</v>
      </c>
      <c r="L610" s="8" t="str">
        <f>IFERROR(__xludf.DUMMYFUNCTION("IF(ISBLANK(D610),""NA"", VLOOKUP(D610,IMPORTRANGE(""https://docs.google.com/spreadsheets/d/1EdCvim__xyxvoo9WoburDTzYylznTCOJBHcnu7eurMw/edit?gid=15948134#gid=15948134"", ""Input!A1:B2000""),2,FALSE()))"),"numeric data (performance counters)")</f>
        <v>numeric data (performance counters)</v>
      </c>
    </row>
    <row r="611" hidden="1">
      <c r="A611" s="23" t="s">
        <v>1959</v>
      </c>
      <c r="B611" s="1" t="s">
        <v>1919</v>
      </c>
      <c r="C611" s="1" t="s">
        <v>1968</v>
      </c>
      <c r="D611" s="1" t="s">
        <v>1961</v>
      </c>
      <c r="E611" s="16" t="s">
        <v>1969</v>
      </c>
      <c r="F611" s="14" t="s">
        <v>1963</v>
      </c>
      <c r="G611" s="1" t="s">
        <v>54</v>
      </c>
      <c r="H611" s="15" t="s">
        <v>1475</v>
      </c>
      <c r="J611" s="8" t="str">
        <f>IFERROR(__xludf.DUMMYFUNCTION("IF(ISBLANK(F611),""NA"", VLOOKUP(F611,IMPORTRANGE(""https://docs.google.com/spreadsheets/d/1EdCvim__xyxvoo9WoburDTzYylznTCOJBHcnu7eurMw/edit?gid=15948134#gid=15948134"", ""Purpose!A1:B1000""),2,FALSE()))"),"to train a model for prediction tasks (i.e., predict performance deviations)")</f>
        <v>to train a model for prediction tasks (i.e., predict performance deviations)</v>
      </c>
      <c r="K611" s="8" t="str">
        <f>IFERROR(__xludf.DUMMYFUNCTION("IF(ISBLANK(E611),""NA"", VLOOKUP(E611,IMPORTRANGE(""https://docs.google.com/spreadsheets/d/1EdCvim__xyxvoo9WoburDTzYylznTCOJBHcnu7eurMw/edit?gid=15948134#gid=15948134"", ""Technique!A1:B2000""),2,FALSE()))"),"use Wrapper with logistic regression")</f>
        <v>use Wrapper with logistic regression</v>
      </c>
      <c r="L611" s="8" t="str">
        <f>IFERROR(__xludf.DUMMYFUNCTION("IF(ISBLANK(D611),""NA"", VLOOKUP(D611,IMPORTRANGE(""https://docs.google.com/spreadsheets/d/1EdCvim__xyxvoo9WoburDTzYylznTCOJBHcnu7eurMw/edit?gid=15948134#gid=15948134"", ""Input!A1:B2000""),2,FALSE()))"),"numeric data (performance counters)")</f>
        <v>numeric data (performance counters)</v>
      </c>
    </row>
    <row r="612" hidden="1">
      <c r="A612" s="23" t="s">
        <v>1959</v>
      </c>
      <c r="B612" s="1">
        <v>11.0</v>
      </c>
      <c r="C612" s="1" t="s">
        <v>1970</v>
      </c>
      <c r="D612" s="1" t="s">
        <v>1971</v>
      </c>
      <c r="E612" s="16" t="s">
        <v>1972</v>
      </c>
      <c r="F612" s="14" t="s">
        <v>1973</v>
      </c>
      <c r="G612" s="1" t="s">
        <v>20</v>
      </c>
      <c r="H612" s="15" t="s">
        <v>1475</v>
      </c>
      <c r="J612" s="8" t="str">
        <f>IFERROR(__xludf.DUMMYFUNCTION("IF(ISBLANK(F612),""NA"", VLOOKUP(F612,IMPORTRANGE(""https://docs.google.com/spreadsheets/d/1EdCvim__xyxvoo9WoburDTzYylznTCOJBHcnu7eurMw/edit?gid=15948134#gid=15948134"", ""Purpose!A1:B1000""),2,FALSE()))"),"to avoid biases of an algorithm towards larger variance")</f>
        <v>to avoid biases of an algorithm towards larger variance</v>
      </c>
      <c r="K612" s="8" t="str">
        <f>IFERROR(__xludf.DUMMYFUNCTION("IF(ISBLANK(E612),""NA"", VLOOKUP(E612,IMPORTRANGE(""https://docs.google.com/spreadsheets/d/1EdCvim__xyxvoo9WoburDTzYylznTCOJBHcnu7eurMw/edit?gid=15948134#gid=15948134"", ""Technique!A1:B2000""),2,FALSE()))"),"use standarization, unit variance scaling")</f>
        <v>use standarization, unit variance scaling</v>
      </c>
      <c r="L612" s="8" t="str">
        <f>IFERROR(__xludf.DUMMYFUNCTION("IF(ISBLANK(D612),""NA"", VLOOKUP(D612,IMPORTRANGE(""https://docs.google.com/spreadsheets/d/1EdCvim__xyxvoo9WoburDTzYylznTCOJBHcnu7eurMw/edit?gid=15948134#gid=15948134"", ""Input!A1:B2000""),2,FALSE()))"),"numeric data (performance counters)")</f>
        <v>numeric data (performance counters)</v>
      </c>
    </row>
    <row r="613" hidden="1">
      <c r="A613" s="23" t="s">
        <v>1959</v>
      </c>
      <c r="B613" s="1">
        <v>12.0</v>
      </c>
      <c r="C613" s="1" t="s">
        <v>1970</v>
      </c>
      <c r="D613" s="1" t="s">
        <v>1974</v>
      </c>
      <c r="E613" s="14" t="s">
        <v>1975</v>
      </c>
      <c r="F613" s="14" t="s">
        <v>1976</v>
      </c>
      <c r="G613" s="1" t="s">
        <v>14</v>
      </c>
      <c r="H613" s="15" t="s">
        <v>1475</v>
      </c>
      <c r="J613" s="8" t="str">
        <f>IFERROR(__xludf.DUMMYFUNCTION("IF(ISBLANK(F613),""NA"", VLOOKUP(F613,IMPORTRANGE(""https://docs.google.com/spreadsheets/d/1EdCvim__xyxvoo9WoburDTzYylznTCOJBHcnu7eurMw/edit?gid=15948134#gid=15948134"", ""Purpose!A1:B1000""),2,FALSE()))"),"to select top K principal components")</f>
        <v>to select top K principal components</v>
      </c>
      <c r="K613" s="8" t="str">
        <f>IFERROR(__xludf.DUMMYFUNCTION("IF(ISBLANK(E613),""NA"", VLOOKUP(E613,IMPORTRANGE(""https://docs.google.com/spreadsheets/d/1EdCvim__xyxvoo9WoburDTzYylznTCOJBHcnu7eurMw/edit?gid=15948134#gid=15948134"", ""Technique!A1:B2000""),2,FALSE()))"),"set a treshold of cumulative variability")</f>
        <v>set a treshold of cumulative variability</v>
      </c>
      <c r="L613" s="8" t="str">
        <f>IFERROR(__xludf.DUMMYFUNCTION("IF(ISBLANK(D613),""NA"", VLOOKUP(D613,IMPORTRANGE(""https://docs.google.com/spreadsheets/d/1EdCvim__xyxvoo9WoburDTzYylznTCOJBHcnu7eurMw/edit?gid=15948134#gid=15948134"", ""Input!A1:B2000""),2,FALSE()))"),"data (training set), principal components")</f>
        <v>data (training set), principal components</v>
      </c>
    </row>
    <row r="614" hidden="1">
      <c r="A614" s="23" t="s">
        <v>1959</v>
      </c>
      <c r="B614" s="1">
        <v>13.0</v>
      </c>
      <c r="C614" s="1" t="s">
        <v>1970</v>
      </c>
      <c r="D614" s="1" t="s">
        <v>1977</v>
      </c>
      <c r="E614" s="14" t="s">
        <v>1978</v>
      </c>
      <c r="F614" s="14" t="s">
        <v>1979</v>
      </c>
      <c r="G614" s="1" t="s">
        <v>14</v>
      </c>
      <c r="H614" s="15" t="s">
        <v>1475</v>
      </c>
      <c r="J614" s="8" t="str">
        <f>IFERROR(__xludf.DUMMYFUNCTION("IF(ISBLANK(F614),""NA"", VLOOKUP(F614,IMPORTRANGE(""https://docs.google.com/spreadsheets/d/1EdCvim__xyxvoo9WoburDTzYylznTCOJBHcnu7eurMw/edit?gid=15948134#gid=15948134"", ""Purpose!A1:B1000""),2,FALSE()))"),"to understand the relation between prinncipal components and initial features")</f>
        <v>to understand the relation between prinncipal components and initial features</v>
      </c>
      <c r="K614" s="8" t="str">
        <f>IFERROR(__xludf.DUMMYFUNCTION("IF(ISBLANK(E614),""NA"", VLOOKUP(E614,IMPORTRANGE(""https://docs.google.com/spreadsheets/d/1EdCvim__xyxvoo9WoburDTzYylznTCOJBHcnu7eurMw/edit?gid=15948134#gid=15948134"", ""Technique!A1:B2000""),2,FALSE()))"),"apply eigenvector decomposition")</f>
        <v>apply eigenvector decomposition</v>
      </c>
      <c r="L614" s="8" t="str">
        <f>IFERROR(__xludf.DUMMYFUNCTION("IF(ISBLANK(D614),""NA"", VLOOKUP(D614,IMPORTRANGE(""https://docs.google.com/spreadsheets/d/1EdCvim__xyxvoo9WoburDTzYylznTCOJBHcnu7eurMw/edit?gid=15948134#gid=15948134"", ""Input!A1:B2000""),2,FALSE()))"),"data (training set), principal components")</f>
        <v>data (training set), principal components</v>
      </c>
    </row>
    <row r="615" hidden="1">
      <c r="A615" s="23" t="s">
        <v>1959</v>
      </c>
      <c r="B615" s="1">
        <v>14.0</v>
      </c>
      <c r="C615" s="1" t="s">
        <v>1980</v>
      </c>
      <c r="D615" s="1" t="s">
        <v>1971</v>
      </c>
      <c r="E615" s="16" t="s">
        <v>1981</v>
      </c>
      <c r="F615" s="14" t="s">
        <v>1982</v>
      </c>
      <c r="G615" s="1" t="s">
        <v>20</v>
      </c>
      <c r="H615" s="15" t="s">
        <v>1475</v>
      </c>
      <c r="J615" s="8" t="str">
        <f>IFERROR(__xludf.DUMMYFUNCTION("IF(ISBLANK(F615),""NA"", VLOOKUP(F615,IMPORTRANGE(""https://docs.google.com/spreadsheets/d/1EdCvim__xyxvoo9WoburDTzYylznTCOJBHcnu7eurMw/edit?gid=15948134#gid=15948134"", ""Purpose!A1:B1000""),2,FALSE()))"),"to remove the noise in data")</f>
        <v>to remove the noise in data</v>
      </c>
      <c r="K615" s="8" t="str">
        <f>IFERROR(__xludf.DUMMYFUNCTION("IF(ISBLANK(E615),""NA"", VLOOKUP(E615,IMPORTRANGE(""https://docs.google.com/spreadsheets/d/1EdCvim__xyxvoo9WoburDTzYylznTCOJBHcnu7eurMw/edit?gid=15948134#gid=15948134"", ""Technique!A1:B2000""),2,FALSE()))"),"filter out performance counter variables by content (i.e., remove empty ones)")</f>
        <v>filter out performance counter variables by content (i.e., remove empty ones)</v>
      </c>
      <c r="L615" s="8" t="str">
        <f>IFERROR(__xludf.DUMMYFUNCTION("IF(ISBLANK(D615),""NA"", VLOOKUP(D615,IMPORTRANGE(""https://docs.google.com/spreadsheets/d/1EdCvim__xyxvoo9WoburDTzYylznTCOJBHcnu7eurMw/edit?gid=15948134#gid=15948134"", ""Input!A1:B2000""),2,FALSE()))"),"numeric data (performance counters)")</f>
        <v>numeric data (performance counters)</v>
      </c>
    </row>
    <row r="616" hidden="1">
      <c r="A616" s="23" t="s">
        <v>1959</v>
      </c>
      <c r="B616" s="1">
        <v>15.0</v>
      </c>
      <c r="C616" s="1" t="s">
        <v>1970</v>
      </c>
      <c r="D616" s="1" t="s">
        <v>1961</v>
      </c>
      <c r="E616" s="14" t="s">
        <v>1983</v>
      </c>
      <c r="F616" s="14" t="s">
        <v>1984</v>
      </c>
      <c r="G616" s="1" t="s">
        <v>106</v>
      </c>
      <c r="H616" s="15" t="s">
        <v>1475</v>
      </c>
      <c r="J616" s="8" t="str">
        <f>IFERROR(__xludf.DUMMYFUNCTION("IF(ISBLANK(F616),""NA"", VLOOKUP(F616,IMPORTRANGE(""https://docs.google.com/spreadsheets/d/1EdCvim__xyxvoo9WoburDTzYylznTCOJBHcnu7eurMw/edit?gid=15948134#gid=15948134"", ""Purpose!A1:B1000""),2,FALSE()))"),"to assign unverified labels to the instances")</f>
        <v>to assign unverified labels to the instances</v>
      </c>
      <c r="K616" s="8" t="str">
        <f>IFERROR(__xludf.DUMMYFUNCTION("IF(ISBLANK(E616),""NA"", VLOOKUP(E616,IMPORTRANGE(""https://docs.google.com/spreadsheets/d/1EdCvim__xyxvoo9WoburDTzYylznTCOJBHcnu7eurMw/edit?gid=15948134#gid=15948134"", ""Technique!A1:B2000""),2,FALSE()))"),"manual labeling")</f>
        <v>manual labeling</v>
      </c>
      <c r="L616" s="8" t="str">
        <f>IFERROR(__xludf.DUMMYFUNCTION("IF(ISBLANK(D616),""NA"", VLOOKUP(D616,IMPORTRANGE(""https://docs.google.com/spreadsheets/d/1EdCvim__xyxvoo9WoburDTzYylznTCOJBHcnu7eurMw/edit?gid=15948134#gid=15948134"", ""Input!A1:B2000""),2,FALSE()))"),"numeric data (performance counters)")</f>
        <v>numeric data (performance counters)</v>
      </c>
    </row>
    <row r="617" hidden="1">
      <c r="A617" s="23" t="s">
        <v>1959</v>
      </c>
      <c r="B617" s="1">
        <v>17.0</v>
      </c>
      <c r="C617" s="1" t="s">
        <v>1985</v>
      </c>
      <c r="D617" s="1" t="s">
        <v>503</v>
      </c>
      <c r="E617" s="14" t="s">
        <v>1986</v>
      </c>
      <c r="F617" s="14" t="s">
        <v>1987</v>
      </c>
      <c r="G617" s="1" t="s">
        <v>39</v>
      </c>
      <c r="H617" s="15" t="s">
        <v>1475</v>
      </c>
      <c r="J617" s="8" t="str">
        <f>IFERROR(__xludf.DUMMYFUNCTION("IF(ISBLANK(F617),""NA"", VLOOKUP(F617,IMPORTRANGE(""https://docs.google.com/spreadsheets/d/1EdCvim__xyxvoo9WoburDTzYylznTCOJBHcnu7eurMw/edit?gid=15948134#gid=15948134"", ""Purpose!A1:B1000""),2,FALSE()))"),"to reduce complexity of the WRAPPER")</f>
        <v>to reduce complexity of the WRAPPER</v>
      </c>
      <c r="K617" s="8" t="str">
        <f>IFERROR(__xludf.DUMMYFUNCTION("IF(ISBLANK(E617),""NA"", VLOOKUP(E617,IMPORTRANGE(""https://docs.google.com/spreadsheets/d/1EdCvim__xyxvoo9WoburDTzYylznTCOJBHcnu7eurMw/edit?gid=15948134#gid=15948134"", ""Technique!A1:B2000""),2,FALSE()))"),"do not tune the parameters of the genetic-WRAPPER algorithm")</f>
        <v>do not tune the parameters of the genetic-WRAPPER algorithm</v>
      </c>
      <c r="L617" s="8" t="str">
        <f>IFERROR(__xludf.DUMMYFUNCTION("IF(ISBLANK(D617),""NA"", VLOOKUP(D617,IMPORTRANGE(""https://docs.google.com/spreadsheets/d/1EdCvim__xyxvoo9WoburDTzYylznTCOJBHcnu7eurMw/edit?gid=15948134#gid=15948134"", ""Input!A1:B2000""),2,FALSE()))"),"model(s)")</f>
        <v>model(s)</v>
      </c>
    </row>
    <row r="618" hidden="1">
      <c r="A618" s="23" t="s">
        <v>1959</v>
      </c>
      <c r="B618" s="1">
        <v>18.0</v>
      </c>
      <c r="C618" s="1" t="s">
        <v>1985</v>
      </c>
      <c r="E618" s="14" t="s">
        <v>1988</v>
      </c>
      <c r="F618" s="14" t="s">
        <v>1989</v>
      </c>
      <c r="G618" s="1" t="s">
        <v>39</v>
      </c>
      <c r="H618" s="15" t="s">
        <v>1475</v>
      </c>
      <c r="J618" s="8" t="str">
        <f>IFERROR(__xludf.DUMMYFUNCTION("IF(ISBLANK(F618),""NA"", VLOOKUP(F618,IMPORTRANGE(""https://docs.google.com/spreadsheets/d/1EdCvim__xyxvoo9WoburDTzYylznTCOJBHcnu7eurMw/edit?gid=15948134#gid=15948134"", ""Purpose!A1:B1000""),2,FALSE()))"),"to evaluate the feature selection")</f>
        <v>to evaluate the feature selection</v>
      </c>
      <c r="K618" s="8" t="str">
        <f>IFERROR(__xludf.DUMMYFUNCTION("IF(ISBLANK(E618),""NA"", VLOOKUP(E618,IMPORTRANGE(""https://docs.google.com/spreadsheets/d/1EdCvim__xyxvoo9WoburDTzYylznTCOJBHcnu7eurMw/edit?gid=15948134#gid=15948134"", ""Technique!A1:B2000""),2,FALSE()))"),"cross validation")</f>
        <v>cross validation</v>
      </c>
      <c r="L618" s="8" t="str">
        <f>IFERROR(__xludf.DUMMYFUNCTION("IF(ISBLANK(D618),""NA"", VLOOKUP(D618,IMPORTRANGE(""https://docs.google.com/spreadsheets/d/1EdCvim__xyxvoo9WoburDTzYylznTCOJBHcnu7eurMw/edit?gid=15948134#gid=15948134"", ""Input!A1:B2000""),2,FALSE()))"),"NA")</f>
        <v>NA</v>
      </c>
    </row>
    <row r="619" hidden="1">
      <c r="A619" s="23" t="s">
        <v>1959</v>
      </c>
      <c r="B619" s="1" t="s">
        <v>1990</v>
      </c>
      <c r="C619" s="1" t="s">
        <v>1991</v>
      </c>
      <c r="D619" s="1" t="s">
        <v>1992</v>
      </c>
      <c r="E619" s="14" t="s">
        <v>1993</v>
      </c>
      <c r="F619" s="14" t="s">
        <v>309</v>
      </c>
      <c r="G619" s="1" t="s">
        <v>39</v>
      </c>
      <c r="H619" s="15" t="s">
        <v>1475</v>
      </c>
      <c r="J619" s="8" t="str">
        <f>IFERROR(__xludf.DUMMYFUNCTION("IF(ISBLANK(F619),""NA"", VLOOKUP(F619,IMPORTRANGE(""https://docs.google.com/spreadsheets/d/1EdCvim__xyxvoo9WoburDTzYylznTCOJBHcnu7eurMw/edit?gid=15948134#gid=15948134"", ""Purpose!A1:B1000""),2,FALSE()))"),"to evaluate model(s) functionally (e.g., accuracy)")</f>
        <v>to evaluate model(s) functionally (e.g., accuracy)</v>
      </c>
      <c r="K619" s="8" t="str">
        <f>IFERROR(__xludf.DUMMYFUNCTION("IF(ISBLANK(E619),""NA"", VLOOKUP(E619,IMPORTRANGE(""https://docs.google.com/spreadsheets/d/1EdCvim__xyxvoo9WoburDTzYylznTCOJBHcnu7eurMw/edit?gid=15948134#gid=15948134"", ""Technique!A1:B2000""),2,FALSE()))"),"compute classical metrics (i.e., Precision, Recall. F-meassure)")</f>
        <v>compute classical metrics (i.e., Precision, Recall. F-meassure)</v>
      </c>
      <c r="L619" s="8" t="str">
        <f>IFERROR(__xludf.DUMMYFUNCTION("IF(ISBLANK(D619),""NA"", VLOOKUP(D619,IMPORTRANGE(""https://docs.google.com/spreadsheets/d/1EdCvim__xyxvoo9WoburDTzYylznTCOJBHcnu7eurMw/edit?gid=15948134#gid=15948134"", ""Input!A1:B2000""),2,FALSE()))"),"data (test set) + model(s)")</f>
        <v>data (test set) + model(s)</v>
      </c>
    </row>
    <row r="620" hidden="1">
      <c r="A620" s="23" t="s">
        <v>1959</v>
      </c>
      <c r="B620" s="1" t="s">
        <v>1994</v>
      </c>
      <c r="C620" s="1" t="s">
        <v>1995</v>
      </c>
      <c r="D620" s="1" t="s">
        <v>412</v>
      </c>
      <c r="E620" s="14" t="s">
        <v>1464</v>
      </c>
      <c r="F620" s="1" t="s">
        <v>1996</v>
      </c>
      <c r="G620" s="1" t="s">
        <v>39</v>
      </c>
      <c r="H620" s="15" t="s">
        <v>1475</v>
      </c>
      <c r="J620" s="8" t="str">
        <f>IFERROR(__xludf.DUMMYFUNCTION("IF(ISBLANK(F620),""NA"", VLOOKUP(F620,IMPORTRANGE(""https://docs.google.com/spreadsheets/d/1EdCvim__xyxvoo9WoburDTzYylznTCOJBHcnu7eurMw/edit?gid=15948134#gid=15948134"", ""Purpose!A1:B1000""),2,FALSE()))"),"to account randomeness of nondeterministic process")</f>
        <v>to account randomeness of nondeterministic process</v>
      </c>
      <c r="K620" s="8" t="str">
        <f>IFERROR(__xludf.DUMMYFUNCTION("IF(ISBLANK(E620),""NA"", VLOOKUP(E620,IMPORTRANGE(""https://docs.google.com/spreadsheets/d/1EdCvim__xyxvoo9WoburDTzYylznTCOJBHcnu7eurMw/edit?gid=15948134#gid=15948134"", ""Technique!A1:B2000""),2,FALSE()))"),"multiple runs/experiments")</f>
        <v>multiple runs/experiments</v>
      </c>
      <c r="L620" s="8" t="str">
        <f>IFERROR(__xludf.DUMMYFUNCTION("IF(ISBLANK(D620),""NA"", VLOOKUP(D620,IMPORTRANGE(""https://docs.google.com/spreadsheets/d/1EdCvim__xyxvoo9WoburDTzYylznTCOJBHcnu7eurMw/edit?gid=15948134#gid=15948134"", ""Input!A1:B2000""),2,FALSE()))"),"data + model(s)")</f>
        <v>data + model(s)</v>
      </c>
    </row>
    <row r="621" hidden="1">
      <c r="A621" s="23" t="s">
        <v>1997</v>
      </c>
      <c r="B621" s="1">
        <v>1.0</v>
      </c>
      <c r="C621" s="1" t="s">
        <v>1998</v>
      </c>
      <c r="D621" s="1" t="s">
        <v>1999</v>
      </c>
      <c r="E621" s="16" t="s">
        <v>2000</v>
      </c>
      <c r="F621" s="14" t="s">
        <v>2001</v>
      </c>
      <c r="G621" s="1" t="s">
        <v>54</v>
      </c>
      <c r="H621" s="15" t="s">
        <v>2002</v>
      </c>
      <c r="J621" s="8" t="str">
        <f>IFERROR(__xludf.DUMMYFUNCTION("IF(ISBLANK(F621),""NA"", VLOOKUP(F621,IMPORTRANGE(""https://docs.google.com/spreadsheets/d/1EdCvim__xyxvoo9WoburDTzYylznTCOJBHcnu7eurMw/edit?gid=15948134#gid=15948134"", ""Purpose!A1:B1000""),2,FALSE()))"),"to train a model for generation tasks (i.e., NLP to symbolic programs)")</f>
        <v>to train a model for generation tasks (i.e., NLP to symbolic programs)</v>
      </c>
      <c r="K621" s="8" t="str">
        <f>IFERROR(__xludf.DUMMYFUNCTION("IF(ISBLANK(E621),""NA"", VLOOKUP(E621,IMPORTRANGE(""https://docs.google.com/spreadsheets/d/1EdCvim__xyxvoo9WoburDTzYylznTCOJBHcnu7eurMw/edit?gid=15948134#gid=15948134"", ""Technique!A1:B2000""),2,FALSE()))"),"use LSTM")</f>
        <v>use LSTM</v>
      </c>
      <c r="L621" s="8" t="str">
        <f>IFERROR(__xludf.DUMMYFUNCTION("IF(ISBLANK(D621),""NA"", VLOOKUP(D621,IMPORTRANGE(""https://docs.google.com/spreadsheets/d/1EdCvim__xyxvoo9WoburDTzYylznTCOJBHcnu7eurMw/edit?gid=15948134#gid=15948134"", ""Input!A1:B2000""),2,FALSE()))"),"textual data (system specification)")</f>
        <v>textual data (system specification)</v>
      </c>
    </row>
    <row r="622" hidden="1">
      <c r="A622" s="23" t="s">
        <v>1997</v>
      </c>
      <c r="B622" s="1">
        <v>2.0</v>
      </c>
      <c r="C622" s="1" t="s">
        <v>2003</v>
      </c>
      <c r="D622" s="1" t="s">
        <v>2004</v>
      </c>
      <c r="E622" s="16" t="s">
        <v>2005</v>
      </c>
      <c r="F622" s="14" t="s">
        <v>2006</v>
      </c>
      <c r="G622" s="1" t="s">
        <v>54</v>
      </c>
      <c r="H622" s="15" t="s">
        <v>2002</v>
      </c>
      <c r="J622" s="8" t="str">
        <f>IFERROR(__xludf.DUMMYFUNCTION("IF(ISBLANK(F622),""NA"", VLOOKUP(F622,IMPORTRANGE(""https://docs.google.com/spreadsheets/d/1EdCvim__xyxvoo9WoburDTzYylznTCOJBHcnu7eurMw/edit?gid=15948134#gid=15948134"", ""Purpose!A1:B1000""),2,FALSE()))"),"to refine ranking by enriching the data points")</f>
        <v>to refine ranking by enriching the data points</v>
      </c>
      <c r="K622" s="8" t="str">
        <f>IFERROR(__xludf.DUMMYFUNCTION("IF(ISBLANK(E622),""NA"", VLOOKUP(E622,IMPORTRANGE(""https://docs.google.com/spreadsheets/d/1EdCvim__xyxvoo9WoburDTzYylznTCOJBHcnu7eurMw/edit?gid=15948134#gid=15948134"", ""Technique!A1:B2000""),2,FALSE()))"),"use association rule mining, Apriori algorithm")</f>
        <v>use association rule mining, Apriori algorithm</v>
      </c>
      <c r="L622" s="8" t="str">
        <f>IFERROR(__xludf.DUMMYFUNCTION("IF(ISBLANK(D622),""NA"", VLOOKUP(D622,IMPORTRANGE(""https://docs.google.com/spreadsheets/d/1EdCvim__xyxvoo9WoburDTzYylznTCOJBHcnu7eurMw/edit?gid=15948134#gid=15948134"", ""Input!A1:B2000""),2,FALSE()))"),"textual data (system specification)")</f>
        <v>textual data (system specification)</v>
      </c>
    </row>
    <row r="623" hidden="1">
      <c r="A623" s="23" t="s">
        <v>1997</v>
      </c>
      <c r="B623" s="1">
        <v>3.0</v>
      </c>
      <c r="C623" s="1" t="s">
        <v>2007</v>
      </c>
      <c r="D623" s="1" t="s">
        <v>2008</v>
      </c>
      <c r="E623" s="16" t="s">
        <v>2009</v>
      </c>
      <c r="F623" s="14" t="s">
        <v>2010</v>
      </c>
      <c r="G623" s="1" t="s">
        <v>54</v>
      </c>
      <c r="H623" s="15" t="s">
        <v>2002</v>
      </c>
      <c r="J623" s="8" t="str">
        <f>IFERROR(__xludf.DUMMYFUNCTION("IF(ISBLANK(F623),""NA"", VLOOKUP(F623,IMPORTRANGE(""https://docs.google.com/spreadsheets/d/1EdCvim__xyxvoo9WoburDTzYylznTCOJBHcnu7eurMw/edit?gid=15948134#gid=15948134"", ""Purpose!A1:B1000""),2,FALSE()))"),"to refine the scores of the model (i.e., seq2seq)")</f>
        <v>to refine the scores of the model (i.e., seq2seq)</v>
      </c>
      <c r="K623" s="8" t="str">
        <f>IFERROR(__xludf.DUMMYFUNCTION("IF(ISBLANK(E623),""NA"", VLOOKUP(E623,IMPORTRANGE(""https://docs.google.com/spreadsheets/d/1EdCvim__xyxvoo9WoburDTzYylznTCOJBHcnu7eurMw/edit?gid=15948134#gid=15948134"", ""Technique!A1:B2000""),2,FALSE()))"),"use a custom algorithm based on association rules")</f>
        <v>use a custom algorithm based on association rules</v>
      </c>
      <c r="L623" s="8" t="str">
        <f>IFERROR(__xludf.DUMMYFUNCTION("IF(ISBLANK(D623),""NA"", VLOOKUP(D623,IMPORTRANGE(""https://docs.google.com/spreadsheets/d/1EdCvim__xyxvoo9WoburDTzYylznTCOJBHcnu7eurMw/edit?gid=15948134#gid=15948134"", ""Input!A1:B2000""),2,FALSE()))"),"textual data (system specification) + code data + seq2se model(s)' output probability")</f>
        <v>textual data (system specification) + code data + seq2se model(s)' output probability</v>
      </c>
    </row>
    <row r="624" hidden="1">
      <c r="A624" s="23" t="s">
        <v>1997</v>
      </c>
      <c r="B624" s="1">
        <v>4.0</v>
      </c>
      <c r="C624" s="1" t="s">
        <v>2011</v>
      </c>
      <c r="E624" s="14" t="s">
        <v>2012</v>
      </c>
      <c r="F624" s="14" t="s">
        <v>2013</v>
      </c>
      <c r="G624" s="1" t="s">
        <v>44</v>
      </c>
      <c r="H624" s="15" t="s">
        <v>2002</v>
      </c>
      <c r="J624" s="8" t="str">
        <f>IFERROR(__xludf.DUMMYFUNCTION("IF(ISBLANK(F624),""NA"", VLOOKUP(F624,IMPORTRANGE(""https://docs.google.com/spreadsheets/d/1EdCvim__xyxvoo9WoburDTzYylznTCOJBHcnu7eurMw/edit?gid=15948134#gid=15948134"", ""Purpose!A1:B1000""),2,FALSE()))"),"to be able to replicate/reproduce a study, research")</f>
        <v>to be able to replicate/reproduce a study, research</v>
      </c>
      <c r="K624" s="8" t="str">
        <f>IFERROR(__xludf.DUMMYFUNCTION("IF(ISBLANK(E624),""NA"", VLOOKUP(E624,IMPORTRANGE(""https://docs.google.com/spreadsheets/d/1EdCvim__xyxvoo9WoburDTzYylznTCOJBHcnu7eurMw/edit?gid=15948134#gid=15948134"", ""Technique!A1:B2000""),2,FALSE()))"),"use Q&amp;A communities")</f>
        <v>use Q&amp;A communities</v>
      </c>
      <c r="L624" s="8" t="str">
        <f>IFERROR(__xludf.DUMMYFUNCTION("IF(ISBLANK(D624),""NA"", VLOOKUP(D624,IMPORTRANGE(""https://docs.google.com/spreadsheets/d/1EdCvim__xyxvoo9WoburDTzYylznTCOJBHcnu7eurMw/edit?gid=15948134#gid=15948134"", ""Input!A1:B2000""),2,FALSE()))"),"NA")</f>
        <v>NA</v>
      </c>
    </row>
    <row r="625" hidden="1">
      <c r="A625" s="23" t="s">
        <v>1997</v>
      </c>
      <c r="B625" s="1">
        <v>5.0</v>
      </c>
      <c r="C625" s="1" t="s">
        <v>2011</v>
      </c>
      <c r="D625" s="1" t="s">
        <v>2014</v>
      </c>
      <c r="E625" s="16" t="s">
        <v>2015</v>
      </c>
      <c r="F625" s="14" t="s">
        <v>2016</v>
      </c>
      <c r="G625" s="1" t="s">
        <v>14</v>
      </c>
      <c r="H625" s="15" t="s">
        <v>2002</v>
      </c>
      <c r="J625" s="8" t="str">
        <f>IFERROR(__xludf.DUMMYFUNCTION("IF(ISBLANK(F625),""NA"", VLOOKUP(F625,IMPORTRANGE(""https://docs.google.com/spreadsheets/d/1EdCvim__xyxvoo9WoburDTzYylznTCOJBHcnu7eurMw/edit?gid=15948134#gid=15948134"", ""Purpose!A1:B1000""),2,FALSE()))"),"to identify relevant features")</f>
        <v>to identify relevant features</v>
      </c>
      <c r="K625" s="8" t="str">
        <f>IFERROR(__xludf.DUMMYFUNCTION("IF(ISBLANK(E625),""NA"", VLOOKUP(E625,IMPORTRANGE(""https://docs.google.com/spreadsheets/d/1EdCvim__xyxvoo9WoburDTzYylznTCOJBHcnu7eurMw/edit?gid=15948134#gid=15948134"", ""Technique!A1:B2000""),2,FALSE()))"),"data deduplication + remove stop words + apply lemmatization + tokenize")</f>
        <v>data deduplication + remove stop words + apply lemmatization + tokenize</v>
      </c>
      <c r="L625" s="8" t="str">
        <f>IFERROR(__xludf.DUMMYFUNCTION("IF(ISBLANK(D625),""NA"", VLOOKUP(D625,IMPORTRANGE(""https://docs.google.com/spreadsheets/d/1EdCvim__xyxvoo9WoburDTzYylznTCOJBHcnu7eurMw/edit?gid=15948134#gid=15948134"", ""Input!A1:B2000""),2,FALSE()))"),"data mined from Q&amp;As (i.e., stack overflow)")</f>
        <v>data mined from Q&amp;As (i.e., stack overflow)</v>
      </c>
    </row>
    <row r="626" hidden="1">
      <c r="A626" s="23" t="s">
        <v>1997</v>
      </c>
      <c r="B626" s="1">
        <v>6.0</v>
      </c>
      <c r="C626" s="1" t="s">
        <v>2017</v>
      </c>
      <c r="D626" s="1" t="s">
        <v>412</v>
      </c>
      <c r="E626" s="16" t="s">
        <v>2018</v>
      </c>
      <c r="F626" s="14" t="s">
        <v>2019</v>
      </c>
      <c r="G626" s="1" t="s">
        <v>54</v>
      </c>
      <c r="H626" s="15" t="s">
        <v>2002</v>
      </c>
      <c r="J626" s="8" t="str">
        <f>IFERROR(__xludf.DUMMYFUNCTION("IF(ISBLANK(F626),""NA"", VLOOKUP(F626,IMPORTRANGE(""https://docs.google.com/spreadsheets/d/1EdCvim__xyxvoo9WoburDTzYylznTCOJBHcnu7eurMw/edit?gid=15948134#gid=15948134"", ""Purpose!A1:B1000""),2,FALSE()))"),"to find the best hyperparameters in general")</f>
        <v>to find the best hyperparameters in general</v>
      </c>
      <c r="K626" s="8" t="str">
        <f>IFERROR(__xludf.DUMMYFUNCTION("IF(ISBLANK(E626),""NA"", VLOOKUP(E626,IMPORTRANGE(""https://docs.google.com/spreadsheets/d/1EdCvim__xyxvoo9WoburDTzYylznTCOJBHcnu7eurMw/edit?gid=15948134#gid=15948134"", ""Technique!A1:B2000""),2,FALSE()))"),"grid search")</f>
        <v>grid search</v>
      </c>
      <c r="L626" s="8" t="str">
        <f>IFERROR(__xludf.DUMMYFUNCTION("IF(ISBLANK(D626),""NA"", VLOOKUP(D626,IMPORTRANGE(""https://docs.google.com/spreadsheets/d/1EdCvim__xyxvoo9WoburDTzYylznTCOJBHcnu7eurMw/edit?gid=15948134#gid=15948134"", ""Input!A1:B2000""),2,FALSE()))"),"data + model(s)")</f>
        <v>data + model(s)</v>
      </c>
    </row>
    <row r="627" hidden="1">
      <c r="A627" s="23" t="s">
        <v>1997</v>
      </c>
      <c r="B627" s="1">
        <v>7.0</v>
      </c>
      <c r="C627" s="1" t="s">
        <v>2020</v>
      </c>
      <c r="E627" s="14" t="s">
        <v>2021</v>
      </c>
      <c r="F627" s="14" t="s">
        <v>1518</v>
      </c>
      <c r="G627" s="1" t="s">
        <v>39</v>
      </c>
      <c r="H627" s="15" t="s">
        <v>2002</v>
      </c>
      <c r="J627" s="8" t="str">
        <f>IFERROR(__xludf.DUMMYFUNCTION("IF(ISBLANK(F627),""NA"", VLOOKUP(F627,IMPORTRANGE(""https://docs.google.com/spreadsheets/d/1EdCvim__xyxvoo9WoburDTzYylznTCOJBHcnu7eurMw/edit?gid=15948134#gid=15948134"", ""Purpose!A1:B1000""),2,FALSE()))"),"to evaluate model(s) functionally (e.g., accuracy) against others")</f>
        <v>to evaluate model(s) functionally (e.g., accuracy) against others</v>
      </c>
      <c r="K627" s="8" t="str">
        <f>IFERROR(__xludf.DUMMYFUNCTION("IF(ISBLANK(E627),""NA"", VLOOKUP(E627,IMPORTRANGE(""https://docs.google.com/spreadsheets/d/1EdCvim__xyxvoo9WoburDTzYylznTCOJBHcnu7eurMw/edit?gid=15948134#gid=15948134"", ""Technique!A1:B2000""),2,FALSE()))"),"compare with baseline model(s), state-of-the-art baselines shallow learning (n-gram), deep learning (seq2seq)")</f>
        <v>compare with baseline model(s), state-of-the-art baselines shallow learning (n-gram), deep learning (seq2seq)</v>
      </c>
      <c r="L627" s="8" t="str">
        <f>IFERROR(__xludf.DUMMYFUNCTION("IF(ISBLANK(D627),""NA"", VLOOKUP(D627,IMPORTRANGE(""https://docs.google.com/spreadsheets/d/1EdCvim__xyxvoo9WoburDTzYylznTCOJBHcnu7eurMw/edit?gid=15948134#gid=15948134"", ""Input!A1:B2000""),2,FALSE()))"),"NA")</f>
        <v>NA</v>
      </c>
    </row>
    <row r="628" hidden="1">
      <c r="A628" s="23" t="s">
        <v>1997</v>
      </c>
      <c r="B628" s="1" t="s">
        <v>2022</v>
      </c>
      <c r="C628" s="1" t="s">
        <v>2020</v>
      </c>
      <c r="D628" s="1" t="s">
        <v>1205</v>
      </c>
      <c r="E628" s="14" t="s">
        <v>2023</v>
      </c>
      <c r="F628" s="14" t="s">
        <v>716</v>
      </c>
      <c r="G628" s="1" t="s">
        <v>39</v>
      </c>
      <c r="H628" s="15" t="s">
        <v>2002</v>
      </c>
      <c r="J628" s="8" t="str">
        <f>IFERROR(__xludf.DUMMYFUNCTION("IF(ISBLANK(F628),""NA"", VLOOKUP(F628,IMPORTRANGE(""https://docs.google.com/spreadsheets/d/1EdCvim__xyxvoo9WoburDTzYylznTCOJBHcnu7eurMw/edit?gid=15948134#gid=15948134"", ""Purpose!A1:B1000""),2,FALSE()))"),"to evaluate model(s) functionally (e.g., accuracy)")</f>
        <v>to evaluate model(s) functionally (e.g., accuracy)</v>
      </c>
      <c r="K628" s="8" t="str">
        <f>IFERROR(__xludf.DUMMYFUNCTION("IF(ISBLANK(E628),""NA"", VLOOKUP(E628,IMPORTRANGE(""https://docs.google.com/spreadsheets/d/1EdCvim__xyxvoo9WoburDTzYylznTCOJBHcnu7eurMw/edit?gid=15948134#gid=15948134"", ""Technique!A1:B2000""),2,FALSE()))"),"compute metrics (i.e., accuracy@N, speedup)")</f>
        <v>compute metrics (i.e., accuracy@N, speedup)</v>
      </c>
      <c r="L628" s="8" t="str">
        <f>IFERROR(__xludf.DUMMYFUNCTION("IF(ISBLANK(D628),""NA"", VLOOKUP(D628,IMPORTRANGE(""https://docs.google.com/spreadsheets/d/1EdCvim__xyxvoo9WoburDTzYylznTCOJBHcnu7eurMw/edit?gid=15948134#gid=15948134"", ""Input!A1:B2000""),2,FALSE()))"),"data (test set) + model(s)")</f>
        <v>data (test set) + model(s)</v>
      </c>
    </row>
    <row r="629" hidden="1">
      <c r="A629" s="23" t="s">
        <v>2024</v>
      </c>
      <c r="B629" s="1" t="s">
        <v>572</v>
      </c>
      <c r="C629" s="1" t="s">
        <v>2025</v>
      </c>
      <c r="E629" s="15" t="s">
        <v>2026</v>
      </c>
      <c r="F629" s="14" t="s">
        <v>2027</v>
      </c>
      <c r="G629" s="1" t="s">
        <v>54</v>
      </c>
      <c r="H629" s="10" t="s">
        <v>2028</v>
      </c>
      <c r="J629" s="8" t="str">
        <f>IFERROR(__xludf.DUMMYFUNCTION("IF(ISBLANK(F629),""NA"", VLOOKUP(F629,IMPORTRANGE(""https://docs.google.com/spreadsheets/d/1EdCvim__xyxvoo9WoburDTzYylznTCOJBHcnu7eurMw/edit?gid=15948134#gid=15948134"", ""Purpose!A1:B1000""),2,FALSE()))"),"to train a model for generation tasks (i.e., passing test programs)")</f>
        <v>to train a model for generation tasks (i.e., passing test programs)</v>
      </c>
      <c r="K629" s="8" t="str">
        <f>IFERROR(__xludf.DUMMYFUNCTION("IF(ISBLANK(E629),""NA"", VLOOKUP(E629,IMPORTRANGE(""https://docs.google.com/spreadsheets/d/1EdCvim__xyxvoo9WoburDTzYylznTCOJBHcnu7eurMw/edit?gid=15948134#gid=15948134"", ""Technique!A1:B2000""),2,FALSE()))"),"use reinforcement learning")</f>
        <v>use reinforcement learning</v>
      </c>
      <c r="L629" s="8" t="str">
        <f>IFERROR(__xludf.DUMMYFUNCTION("IF(ISBLANK(D629),""NA"", VLOOKUP(D629,IMPORTRANGE(""https://docs.google.com/spreadsheets/d/1EdCvim__xyxvoo9WoburDTzYylznTCOJBHcnu7eurMw/edit?gid=15948134#gid=15948134"", ""Input!A1:B2000""),2,FALSE()))"),"NA")</f>
        <v>NA</v>
      </c>
    </row>
    <row r="630" hidden="1">
      <c r="A630" s="23" t="s">
        <v>2024</v>
      </c>
      <c r="B630" s="1">
        <v>2.0</v>
      </c>
      <c r="C630" s="1" t="s">
        <v>2029</v>
      </c>
      <c r="E630" s="1" t="s">
        <v>1563</v>
      </c>
      <c r="F630" s="14" t="s">
        <v>2030</v>
      </c>
      <c r="G630" s="1" t="s">
        <v>44</v>
      </c>
      <c r="H630" s="10" t="s">
        <v>2028</v>
      </c>
      <c r="J630" s="8" t="str">
        <f>IFERROR(__xludf.DUMMYFUNCTION("IF(ISBLANK(F630),""NA"", VLOOKUP(F630,IMPORTRANGE(""https://docs.google.com/spreadsheets/d/1EdCvim__xyxvoo9WoburDTzYylznTCOJBHcnu7eurMw/edit?gid=15948134#gid=15948134"", ""Purpose!A1:B1000""),2,FALSE()))"),"to collect data, code data")</f>
        <v>to collect data, code data</v>
      </c>
      <c r="K630" s="8" t="str">
        <f>IFERROR(__xludf.DUMMYFUNCTION("IF(ISBLANK(E630),""NA"", VLOOKUP(E630,IMPORTRANGE(""https://docs.google.com/spreadsheets/d/1EdCvim__xyxvoo9WoburDTzYylznTCOJBHcnu7eurMw/edit?gid=15948134#gid=15948134"", ""Technique!A1:B2000""),2,FALSE()))"),"collect own data from open-source projects")</f>
        <v>collect own data from open-source projects</v>
      </c>
      <c r="L630" s="8" t="str">
        <f>IFERROR(__xludf.DUMMYFUNCTION("IF(ISBLANK(D630),""NA"", VLOOKUP(D630,IMPORTRANGE(""https://docs.google.com/spreadsheets/d/1EdCvim__xyxvoo9WoburDTzYylznTCOJBHcnu7eurMw/edit?gid=15948134#gid=15948134"", ""Input!A1:B2000""),2,FALSE()))"),"NA")</f>
        <v>NA</v>
      </c>
    </row>
    <row r="631" hidden="1">
      <c r="A631" s="23" t="s">
        <v>2024</v>
      </c>
      <c r="B631" s="1">
        <v>6.0</v>
      </c>
      <c r="C631" s="1" t="s">
        <v>2031</v>
      </c>
      <c r="D631" s="1" t="s">
        <v>2032</v>
      </c>
      <c r="E631" s="1" t="s">
        <v>2033</v>
      </c>
      <c r="F631" s="14" t="s">
        <v>2034</v>
      </c>
      <c r="G631" s="1" t="s">
        <v>91</v>
      </c>
      <c r="H631" s="15" t="s">
        <v>2028</v>
      </c>
      <c r="J631" s="8" t="str">
        <f>IFERROR(__xludf.DUMMYFUNCTION("IF(ISBLANK(F631),""NA"", VLOOKUP(F631,IMPORTRANGE(""https://docs.google.com/spreadsheets/d/1EdCvim__xyxvoo9WoburDTzYylznTCOJBHcnu7eurMw/edit?gid=15948134#gid=15948134"", ""Purpose!A1:B1000""),2,FALSE()))"),"to meassure coverage distance between two stages of testing")</f>
        <v>to meassure coverage distance between two stages of testing</v>
      </c>
      <c r="K631" s="8" t="str">
        <f>IFERROR(__xludf.DUMMYFUNCTION("IF(ISBLANK(E631),""NA"", VLOOKUP(E631,IMPORTRANGE(""https://docs.google.com/spreadsheets/d/1EdCvim__xyxvoo9WoburDTzYylznTCOJBHcnu7eurMw/edit?gid=15948134#gid=15948134"", ""Technique!A1:B2000""),2,FALSE()))"),"report model fine details (e.g., use jaccard distance as part of the reward function)")</f>
        <v>report model fine details (e.g., use jaccard distance as part of the reward function)</v>
      </c>
      <c r="L631" s="8" t="str">
        <f>IFERROR(__xludf.DUMMYFUNCTION("IF(ISBLANK(D631),""NA"", VLOOKUP(D631,IMPORTRANGE(""https://docs.google.com/spreadsheets/d/1EdCvim__xyxvoo9WoburDTzYylznTCOJBHcnu7eurMw/edit?gid=15948134#gid=15948134"", ""Input!A1:B2000""),2,FALSE()))"),"code data")</f>
        <v>code data</v>
      </c>
    </row>
    <row r="632" hidden="1">
      <c r="A632" s="23" t="s">
        <v>2024</v>
      </c>
      <c r="B632" s="1">
        <v>5.0</v>
      </c>
      <c r="C632" s="1" t="s">
        <v>2035</v>
      </c>
      <c r="E632" s="1" t="s">
        <v>357</v>
      </c>
      <c r="F632" s="14" t="s">
        <v>309</v>
      </c>
      <c r="G632" s="1" t="s">
        <v>39</v>
      </c>
      <c r="H632" s="15" t="s">
        <v>2028</v>
      </c>
      <c r="J632" s="8" t="str">
        <f>IFERROR(__xludf.DUMMYFUNCTION("IF(ISBLANK(F632),""NA"", VLOOKUP(F632,IMPORTRANGE(""https://docs.google.com/spreadsheets/d/1EdCvim__xyxvoo9WoburDTzYylznTCOJBHcnu7eurMw/edit?gid=15948134#gid=15948134"", ""Purpose!A1:B1000""),2,FALSE()))"),"to evaluate model(s) functionally (e.g., accuracy)")</f>
        <v>to evaluate model(s) functionally (e.g., accuracy)</v>
      </c>
      <c r="K632" s="8" t="str">
        <f>IFERROR(__xludf.DUMMYFUNCTION("IF(ISBLANK(E632),""NA"", VLOOKUP(E632,IMPORTRANGE(""https://docs.google.com/spreadsheets/d/1EdCvim__xyxvoo9WoburDTzYylznTCOJBHcnu7eurMw/edit?gid=15948134#gid=15948134"", ""Technique!A1:B2000""),2,FALSE()))"),"use existing benchmarks")</f>
        <v>use existing benchmarks</v>
      </c>
      <c r="L632" s="8" t="str">
        <f>IFERROR(__xludf.DUMMYFUNCTION("IF(ISBLANK(D632),""NA"", VLOOKUP(D632,IMPORTRANGE(""https://docs.google.com/spreadsheets/d/1EdCvim__xyxvoo9WoburDTzYylznTCOJBHcnu7eurMw/edit?gid=15948134#gid=15948134"", ""Input!A1:B2000""),2,FALSE()))"),"NA")</f>
        <v>NA</v>
      </c>
    </row>
    <row r="633" hidden="1">
      <c r="A633" s="23" t="s">
        <v>2024</v>
      </c>
      <c r="B633" s="1">
        <v>7.0</v>
      </c>
      <c r="C633" s="1" t="s">
        <v>2036</v>
      </c>
      <c r="D633" s="1" t="s">
        <v>412</v>
      </c>
      <c r="E633" s="1" t="s">
        <v>2037</v>
      </c>
      <c r="F633" s="14" t="s">
        <v>2038</v>
      </c>
      <c r="G633" s="1" t="s">
        <v>39</v>
      </c>
      <c r="H633" s="15" t="s">
        <v>2028</v>
      </c>
      <c r="J633" s="8" t="str">
        <f>IFERROR(__xludf.DUMMYFUNCTION("IF(ISBLANK(F633),""NA"", VLOOKUP(F633,IMPORTRANGE(""https://docs.google.com/spreadsheets/d/1EdCvim__xyxvoo9WoburDTzYylznTCOJBHcnu7eurMw/edit?gid=15948134#gid=15948134"", ""Purpose!A1:B1000""),2,FALSE()))"),"to account randomeness of nondeterministic process during training")</f>
        <v>to account randomeness of nondeterministic process during training</v>
      </c>
      <c r="K633" s="8" t="str">
        <f>IFERROR(__xludf.DUMMYFUNCTION("IF(ISBLANK(E633),""NA"", VLOOKUP(E633,IMPORTRANGE(""https://docs.google.com/spreadsheets/d/1EdCvim__xyxvoo9WoburDTzYylznTCOJBHcnu7eurMw/edit?gid=15948134#gid=15948134"", ""Technique!A1:B2000""),2,FALSE()))"),"multiple runs/experiments")</f>
        <v>multiple runs/experiments</v>
      </c>
      <c r="L633" s="8" t="str">
        <f>IFERROR(__xludf.DUMMYFUNCTION("IF(ISBLANK(D633),""NA"", VLOOKUP(D633,IMPORTRANGE(""https://docs.google.com/spreadsheets/d/1EdCvim__xyxvoo9WoburDTzYylznTCOJBHcnu7eurMw/edit?gid=15948134#gid=15948134"", ""Input!A1:B2000""),2,FALSE()))"),"data + model(s)")</f>
        <v>data + model(s)</v>
      </c>
    </row>
    <row r="634" hidden="1">
      <c r="A634" s="23" t="s">
        <v>2024</v>
      </c>
      <c r="B634" s="1">
        <v>8.0</v>
      </c>
      <c r="C634" s="1" t="s">
        <v>2036</v>
      </c>
      <c r="E634" s="1" t="s">
        <v>923</v>
      </c>
      <c r="F634" s="14" t="s">
        <v>585</v>
      </c>
      <c r="G634" s="1" t="s">
        <v>924</v>
      </c>
      <c r="H634" s="15" t="s">
        <v>2028</v>
      </c>
      <c r="J634" s="8" t="str">
        <f>IFERROR(__xludf.DUMMYFUNCTION("IF(ISBLANK(F634),""NA"", VLOOKUP(F634,IMPORTRANGE(""https://docs.google.com/spreadsheets/d/1EdCvim__xyxvoo9WoburDTzYylznTCOJBHcnu7eurMw/edit?gid=15948134#gid=15948134"", ""Purpose!A1:B1000""),2,FALSE()))"),"to be able to replicate/reproduce a study, research")</f>
        <v>to be able to replicate/reproduce a study, research</v>
      </c>
      <c r="K634" s="8" t="str">
        <f>IFERROR(__xludf.DUMMYFUNCTION("IF(ISBLANK(E634),""NA"", VLOOKUP(E634,IMPORTRANGE(""https://docs.google.com/spreadsheets/d/1EdCvim__xyxvoo9WoburDTzYylznTCOJBHcnu7eurMw/edit?gid=15948134#gid=15948134"", ""Technique!A1:B2000""),2,FALSE()))"),"publish replication package")</f>
        <v>publish replication package</v>
      </c>
      <c r="L634" s="8" t="str">
        <f>IFERROR(__xludf.DUMMYFUNCTION("IF(ISBLANK(D634),""NA"", VLOOKUP(D634,IMPORTRANGE(""https://docs.google.com/spreadsheets/d/1EdCvim__xyxvoo9WoburDTzYylznTCOJBHcnu7eurMw/edit?gid=15948134#gid=15948134"", ""Input!A1:B2000""),2,FALSE()))"),"NA")</f>
        <v>NA</v>
      </c>
    </row>
    <row r="635" hidden="1">
      <c r="A635" s="23" t="s">
        <v>2024</v>
      </c>
      <c r="B635" s="1">
        <v>9.0</v>
      </c>
      <c r="C635" s="1" t="s">
        <v>2036</v>
      </c>
      <c r="D635" s="1" t="s">
        <v>412</v>
      </c>
      <c r="E635" s="1" t="s">
        <v>2039</v>
      </c>
      <c r="F635" s="14" t="s">
        <v>2040</v>
      </c>
      <c r="G635" s="1" t="s">
        <v>39</v>
      </c>
      <c r="H635" s="15" t="s">
        <v>2028</v>
      </c>
      <c r="J635" s="8" t="str">
        <f>IFERROR(__xludf.DUMMYFUNCTION("IF(ISBLANK(F635),""NA"", VLOOKUP(F635,IMPORTRANGE(""https://docs.google.com/spreadsheets/d/1EdCvim__xyxvoo9WoburDTzYylznTCOJBHcnu7eurMw/edit?gid=15948134#gid=15948134"", ""Purpose!A1:B1000""),2,FALSE()))"),"to understand how different components affect the model results")</f>
        <v>to understand how different components affect the model results</v>
      </c>
      <c r="K635" s="8" t="str">
        <f>IFERROR(__xludf.DUMMYFUNCTION("IF(ISBLANK(E635),""NA"", VLOOKUP(E635,IMPORTRANGE(""https://docs.google.com/spreadsheets/d/1EdCvim__xyxvoo9WoburDTzYylznTCOJBHcnu7eurMw/edit?gid=15948134#gid=15948134"", ""Technique!A1:B2000""),2,FALSE()))"),"ablation study (removing components)")</f>
        <v>ablation study (removing components)</v>
      </c>
      <c r="L635" s="8" t="str">
        <f>IFERROR(__xludf.DUMMYFUNCTION("IF(ISBLANK(D635),""NA"", VLOOKUP(D635,IMPORTRANGE(""https://docs.google.com/spreadsheets/d/1EdCvim__xyxvoo9WoburDTzYylznTCOJBHcnu7eurMw/edit?gid=15948134#gid=15948134"", ""Input!A1:B2000""),2,FALSE()))"),"data + model(s)")</f>
        <v>data + model(s)</v>
      </c>
    </row>
    <row r="636" hidden="1">
      <c r="A636" s="23" t="s">
        <v>2024</v>
      </c>
      <c r="B636" s="1" t="s">
        <v>493</v>
      </c>
      <c r="C636" s="1" t="s">
        <v>2041</v>
      </c>
      <c r="D636" s="1" t="s">
        <v>2042</v>
      </c>
      <c r="E636" s="1" t="s">
        <v>2043</v>
      </c>
      <c r="F636" s="14" t="s">
        <v>2044</v>
      </c>
      <c r="G636" s="1" t="s">
        <v>39</v>
      </c>
      <c r="H636" s="15" t="s">
        <v>2028</v>
      </c>
      <c r="J636" s="8" t="str">
        <f>IFERROR(__xludf.DUMMYFUNCTION("IF(ISBLANK(F636),""NA"", VLOOKUP(F636,IMPORTRANGE(""https://docs.google.com/spreadsheets/d/1EdCvim__xyxvoo9WoburDTzYylznTCOJBHcnu7eurMw/edit?gid=15948134#gid=15948134"", ""Purpose!A1:B1000""),2,FALSE()))"),"to evaluate model(s) functionally (e.g., accuracy)")</f>
        <v>to evaluate model(s) functionally (e.g., accuracy)</v>
      </c>
      <c r="K636" s="8" t="str">
        <f>IFERROR(__xludf.DUMMYFUNCTION("IF(ISBLANK(E636),""NA"", VLOOKUP(E636,IMPORTRANGE(""https://docs.google.com/spreadsheets/d/1EdCvim__xyxvoo9WoburDTzYylznTCOJBHcnu7eurMw/edit?gid=15948134#gid=15948134"", ""Technique!A1:B2000""),2,FALSE()))"),"compute metrics (i.e., Topn-n, Mean First Ranking, Mean Average Ranking)")</f>
        <v>compute metrics (i.e., Topn-n, Mean First Ranking, Mean Average Ranking)</v>
      </c>
      <c r="L636" s="8" t="str">
        <f>IFERROR(__xludf.DUMMYFUNCTION("IF(ISBLANK(D636),""NA"", VLOOKUP(D636,IMPORTRANGE(""https://docs.google.com/spreadsheets/d/1EdCvim__xyxvoo9WoburDTzYylznTCOJBHcnu7eurMw/edit?gid=15948134#gid=15948134"", ""Input!A1:B2000""),2,FALSE()))"),"data (test set) + model(s)")</f>
        <v>data (test set) + model(s)</v>
      </c>
    </row>
    <row r="637" hidden="1">
      <c r="A637" s="23" t="s">
        <v>2024</v>
      </c>
      <c r="B637" s="1">
        <v>11.0</v>
      </c>
      <c r="C637" s="1" t="s">
        <v>2045</v>
      </c>
      <c r="E637" s="1" t="s">
        <v>2046</v>
      </c>
      <c r="F637" s="14" t="s">
        <v>2047</v>
      </c>
      <c r="G637" s="1" t="s">
        <v>39</v>
      </c>
      <c r="H637" s="15" t="s">
        <v>2028</v>
      </c>
      <c r="J637" s="8" t="str">
        <f>IFERROR(__xludf.DUMMYFUNCTION("IF(ISBLANK(F637),""NA"", VLOOKUP(F637,IMPORTRANGE(""https://docs.google.com/spreadsheets/d/1EdCvim__xyxvoo9WoburDTzYylznTCOJBHcnu7eurMw/edit?gid=15948134#gid=15948134"", ""Purpose!A1:B1000""),2,FALSE()))"),"to evaluate model(s) functionally (e.g., accuracy) against others")</f>
        <v>to evaluate model(s) functionally (e.g., accuracy) against others</v>
      </c>
      <c r="K637" s="8" t="str">
        <f>IFERROR(__xludf.DUMMYFUNCTION("IF(ISBLANK(E637),""NA"", VLOOKUP(E637,IMPORTRANGE(""https://docs.google.com/spreadsheets/d/1EdCvim__xyxvoo9WoburDTzYylznTCOJBHcnu7eurMw/edit?gid=15948134#gid=15948134"", ""Technique!A1:B2000""),2,FALSE()))"),"plot results (i.e., boxplots or violinplot)")</f>
        <v>plot results (i.e., boxplots or violinplot)</v>
      </c>
      <c r="L637" s="8" t="str">
        <f>IFERROR(__xludf.DUMMYFUNCTION("IF(ISBLANK(D637),""NA"", VLOOKUP(D637,IMPORTRANGE(""https://docs.google.com/spreadsheets/d/1EdCvim__xyxvoo9WoburDTzYylznTCOJBHcnu7eurMw/edit?gid=15948134#gid=15948134"", ""Input!A1:B2000""),2,FALSE()))"),"NA")</f>
        <v>NA</v>
      </c>
    </row>
    <row r="638" hidden="1">
      <c r="A638" s="23" t="s">
        <v>2048</v>
      </c>
      <c r="B638" s="1">
        <v>1.0</v>
      </c>
      <c r="C638" s="1" t="s">
        <v>2049</v>
      </c>
      <c r="D638" s="1" t="s">
        <v>2050</v>
      </c>
      <c r="E638" s="16" t="s">
        <v>2051</v>
      </c>
      <c r="F638" s="14" t="s">
        <v>2052</v>
      </c>
      <c r="G638" s="1" t="s">
        <v>54</v>
      </c>
      <c r="H638" s="15" t="s">
        <v>428</v>
      </c>
      <c r="J638" s="8" t="str">
        <f>IFERROR(__xludf.DUMMYFUNCTION("IF(ISBLANK(F638),""NA"", VLOOKUP(F638,IMPORTRANGE(""https://docs.google.com/spreadsheets/d/1EdCvim__xyxvoo9WoburDTzYylznTCOJBHcnu7eurMw/edit?gid=15948134#gid=15948134"", ""Purpose!A1:B1000""),2,FALSE()))"),"to train a model for code embedding")</f>
        <v>to train a model for code embedding</v>
      </c>
      <c r="K638" s="8" t="str">
        <f>IFERROR(__xludf.DUMMYFUNCTION("IF(ISBLANK(E638),""NA"", VLOOKUP(E638,IMPORTRANGE(""https://docs.google.com/spreadsheets/d/1EdCvim__xyxvoo9WoburDTzYylznTCOJBHcnu7eurMw/edit?gid=15948134#gid=15948134"", ""Technique!A1:B2000""),2,FALSE()))"),"Use Code2Vec")</f>
        <v>Use Code2Vec</v>
      </c>
      <c r="L638" s="8" t="str">
        <f>IFERROR(__xludf.DUMMYFUNCTION("IF(ISBLANK(D638),""NA"", VLOOKUP(D638,IMPORTRANGE(""https://docs.google.com/spreadsheets/d/1EdCvim__xyxvoo9WoburDTzYylznTCOJBHcnu7eurMw/edit?gid=15948134#gid=15948134"", ""Input!A1:B2000""),2,FALSE()))"),"abstract syntax tree + textual data (comments)")</f>
        <v>abstract syntax tree + textual data (comments)</v>
      </c>
    </row>
    <row r="639" hidden="1">
      <c r="A639" s="23" t="s">
        <v>2048</v>
      </c>
      <c r="B639" s="1">
        <v>4.0</v>
      </c>
      <c r="C639" s="8" t="s">
        <v>2053</v>
      </c>
      <c r="D639" s="1"/>
      <c r="E639" s="9" t="s">
        <v>923</v>
      </c>
      <c r="F639" s="9" t="s">
        <v>585</v>
      </c>
      <c r="G639" s="1" t="s">
        <v>924</v>
      </c>
      <c r="H639" s="15" t="s">
        <v>428</v>
      </c>
      <c r="J639" s="8" t="str">
        <f>IFERROR(__xludf.DUMMYFUNCTION("IF(ISBLANK(F639),""NA"", VLOOKUP(F639,IMPORTRANGE(""https://docs.google.com/spreadsheets/d/1EdCvim__xyxvoo9WoburDTzYylznTCOJBHcnu7eurMw/edit?gid=15948134#gid=15948134"", ""Purpose!A1:B1000""),2,FALSE()))"),"to be able to replicate/reproduce a study, research")</f>
        <v>to be able to replicate/reproduce a study, research</v>
      </c>
      <c r="K639" s="8" t="str">
        <f>IFERROR(__xludf.DUMMYFUNCTION("IF(ISBLANK(E639),""NA"", VLOOKUP(E639,IMPORTRANGE(""https://docs.google.com/spreadsheets/d/1EdCvim__xyxvoo9WoburDTzYylznTCOJBHcnu7eurMw/edit?gid=15948134#gid=15948134"", ""Technique!A1:B2000""),2,FALSE()))"),"publish replication package")</f>
        <v>publish replication package</v>
      </c>
      <c r="L639" s="8" t="str">
        <f>IFERROR(__xludf.DUMMYFUNCTION("IF(ISBLANK(D639),""NA"", VLOOKUP(D639,IMPORTRANGE(""https://docs.google.com/spreadsheets/d/1EdCvim__xyxvoo9WoburDTzYylznTCOJBHcnu7eurMw/edit?gid=15948134#gid=15948134"", ""Input!A1:B2000""),2,FALSE()))"),"NA")</f>
        <v>NA</v>
      </c>
    </row>
    <row r="640" hidden="1">
      <c r="A640" s="23" t="s">
        <v>2048</v>
      </c>
      <c r="B640" s="1" t="s">
        <v>2054</v>
      </c>
      <c r="C640" s="1" t="s">
        <v>2055</v>
      </c>
      <c r="E640" s="14" t="s">
        <v>2056</v>
      </c>
      <c r="F640" s="14" t="s">
        <v>321</v>
      </c>
      <c r="G640" s="1" t="s">
        <v>44</v>
      </c>
      <c r="H640" s="15" t="s">
        <v>428</v>
      </c>
      <c r="J640" s="8" t="str">
        <f>IFERROR(__xludf.DUMMYFUNCTION("IF(ISBLANK(F640),""NA"", VLOOKUP(F640,IMPORTRANGE(""https://docs.google.com/spreadsheets/d/1EdCvim__xyxvoo9WoburDTzYylznTCOJBHcnu7eurMw/edit?gid=15948134#gid=15948134"", ""Purpose!A1:B1000""),2,FALSE()))"),"to collect data, code data")</f>
        <v>to collect data, code data</v>
      </c>
      <c r="K640" s="8" t="str">
        <f>IFERROR(__xludf.DUMMYFUNCTION("IF(ISBLANK(E640),""NA"", VLOOKUP(E640,IMPORTRANGE(""https://docs.google.com/spreadsheets/d/1EdCvim__xyxvoo9WoburDTzYylznTCOJBHcnu7eurMw/edit?gid=15948134#gid=15948134"", ""Technique!A1:B2000""),2,FALSE()))"),"use existing datasets")</f>
        <v>use existing datasets</v>
      </c>
      <c r="L640" s="8" t="str">
        <f>IFERROR(__xludf.DUMMYFUNCTION("IF(ISBLANK(D640),""NA"", VLOOKUP(D640,IMPORTRANGE(""https://docs.google.com/spreadsheets/d/1EdCvim__xyxvoo9WoburDTzYylznTCOJBHcnu7eurMw/edit?gid=15948134#gid=15948134"", ""Input!A1:B2000""),2,FALSE()))"),"NA")</f>
        <v>NA</v>
      </c>
    </row>
    <row r="641" hidden="1">
      <c r="A641" s="23" t="s">
        <v>2048</v>
      </c>
      <c r="B641" s="1" t="s">
        <v>2057</v>
      </c>
      <c r="C641" s="1" t="s">
        <v>2058</v>
      </c>
      <c r="D641" s="1" t="s">
        <v>2059</v>
      </c>
      <c r="E641" s="16" t="s">
        <v>2060</v>
      </c>
      <c r="F641" s="14" t="s">
        <v>2061</v>
      </c>
      <c r="G641" s="1" t="s">
        <v>20</v>
      </c>
      <c r="H641" s="15" t="s">
        <v>428</v>
      </c>
      <c r="J641" s="8" t="str">
        <f>IFERROR(__xludf.DUMMYFUNCTION("IF(ISBLANK(F641),""NA"", VLOOKUP(F641,IMPORTRANGE(""https://docs.google.com/spreadsheets/d/1EdCvim__xyxvoo9WoburDTzYylznTCOJBHcnu7eurMw/edit?gid=15948134#gid=15948134"", ""Purpose!A1:B1000""),2,FALSE()))"),"to handle out-of-the-vocabulary words")</f>
        <v>to handle out-of-the-vocabulary words</v>
      </c>
      <c r="K641" s="8" t="str">
        <f>IFERROR(__xludf.DUMMYFUNCTION("IF(ISBLANK(E641),""NA"", VLOOKUP(E641,IMPORTRANGE(""https://docs.google.com/spreadsheets/d/1EdCvim__xyxvoo9WoburDTzYylznTCOJBHcnu7eurMw/edit?gid=15948134#gid=15948134"", ""Technique!A1:B2000""),2,FALSE()))"),"use UNK token")</f>
        <v>use UNK token</v>
      </c>
      <c r="L641" s="8" t="str">
        <f>IFERROR(__xludf.DUMMYFUNCTION("IF(ISBLANK(D641),""NA"", VLOOKUP(D641,IMPORTRANGE(""https://docs.google.com/spreadsheets/d/1EdCvim__xyxvoo9WoburDTzYylznTCOJBHcnu7eurMw/edit?gid=15948134#gid=15948134"", ""Input!A1:B2000""),2,FALSE()))"),"code data (open source)")</f>
        <v>code data (open source)</v>
      </c>
    </row>
    <row r="642" hidden="1">
      <c r="A642" s="23" t="s">
        <v>2048</v>
      </c>
      <c r="C642" s="1" t="s">
        <v>2058</v>
      </c>
      <c r="D642" s="1" t="s">
        <v>2062</v>
      </c>
      <c r="E642" s="16" t="s">
        <v>2063</v>
      </c>
      <c r="F642" s="14" t="s">
        <v>2064</v>
      </c>
      <c r="G642" s="1" t="s">
        <v>20</v>
      </c>
      <c r="H642" s="15" t="s">
        <v>428</v>
      </c>
      <c r="J642" s="8" t="str">
        <f>IFERROR(__xludf.DUMMYFUNCTION("IF(ISBLANK(F642),""NA"", VLOOKUP(F642,IMPORTRANGE(""https://docs.google.com/spreadsheets/d/1EdCvim__xyxvoo9WoburDTzYylznTCOJBHcnu7eurMw/edit?gid=15948134#gid=15948134"", ""Purpose!A1:B1000""),2,FALSE()))"),"to transform the data into the required input (i.e., seq2seq)")</f>
        <v>to transform the data into the required input (i.e., seq2seq)</v>
      </c>
      <c r="K642" s="8" t="str">
        <f>IFERROR(__xludf.DUMMYFUNCTION("IF(ISBLANK(E642),""NA"", VLOOKUP(E642,IMPORTRANGE(""https://docs.google.com/spreadsheets/d/1EdCvim__xyxvoo9WoburDTzYylznTCOJBHcnu7eurMw/edit?gid=15948134#gid=15948134"", ""Technique!A1:B2000""),2,FALSE()))"),"build an AST")</f>
        <v>build an AST</v>
      </c>
      <c r="L642" s="8" t="str">
        <f>IFERROR(__xludf.DUMMYFUNCTION("IF(ISBLANK(D642),""NA"", VLOOKUP(D642,IMPORTRANGE(""https://docs.google.com/spreadsheets/d/1EdCvim__xyxvoo9WoburDTzYylznTCOJBHcnu7eurMw/edit?gid=15948134#gid=15948134"", ""Input!A1:B2000""),2,FALSE()))"),"code data")</f>
        <v>code data</v>
      </c>
    </row>
    <row r="643" hidden="1">
      <c r="A643" s="23" t="s">
        <v>2048</v>
      </c>
      <c r="B643" s="1">
        <v>2.0</v>
      </c>
      <c r="C643" s="1" t="s">
        <v>2058</v>
      </c>
      <c r="D643" s="1" t="s">
        <v>2065</v>
      </c>
      <c r="E643" s="16" t="s">
        <v>2066</v>
      </c>
      <c r="F643" s="14" t="s">
        <v>2067</v>
      </c>
      <c r="G643" s="1" t="s">
        <v>20</v>
      </c>
      <c r="H643" s="15" t="s">
        <v>428</v>
      </c>
      <c r="J643" s="8" t="str">
        <f>IFERROR(__xludf.DUMMYFUNCTION("IF(ISBLANK(F643),""NA"", VLOOKUP(F643,IMPORTRANGE(""https://docs.google.com/spreadsheets/d/1EdCvim__xyxvoo9WoburDTzYylznTCOJBHcnu7eurMw/edit?gid=15948134#gid=15948134"", ""Purpose!A1:B1000""),2,FALSE()))"),"to pre-process the data for training")</f>
        <v>to pre-process the data for training</v>
      </c>
      <c r="K643" s="8" t="str">
        <f>IFERROR(__xludf.DUMMYFUNCTION("IF(ISBLANK(E643),""NA"", VLOOKUP(E643,IMPORTRANGE(""https://docs.google.com/spreadsheets/d/1EdCvim__xyxvoo9WoburDTzYylznTCOJBHcnu7eurMw/edit?gid=15948134#gid=15948134"", ""Technique!A1:B2000""),2,FALSE()))"),"traver the AST using structure based traversal")</f>
        <v>traver the AST using structure based traversal</v>
      </c>
      <c r="L643" s="8" t="str">
        <f>IFERROR(__xludf.DUMMYFUNCTION("IF(ISBLANK(D643),""NA"", VLOOKUP(D643,IMPORTRANGE(""https://docs.google.com/spreadsheets/d/1EdCvim__xyxvoo9WoburDTzYylznTCOJBHcnu7eurMw/edit?gid=15948134#gid=15948134"", ""Input!A1:B2000""),2,FALSE()))"),"abstract syntax tree")</f>
        <v>abstract syntax tree</v>
      </c>
    </row>
    <row r="644" hidden="1">
      <c r="A644" s="23" t="s">
        <v>2048</v>
      </c>
      <c r="B644" s="1">
        <v>3.0</v>
      </c>
      <c r="C644" s="1" t="s">
        <v>2058</v>
      </c>
      <c r="D644" s="1" t="s">
        <v>2068</v>
      </c>
      <c r="E644" s="16" t="s">
        <v>2069</v>
      </c>
      <c r="F644" s="14" t="s">
        <v>2070</v>
      </c>
      <c r="G644" s="1" t="s">
        <v>54</v>
      </c>
      <c r="H644" s="15" t="s">
        <v>2071</v>
      </c>
      <c r="J644" s="8" t="str">
        <f>IFERROR(__xludf.DUMMYFUNCTION("IF(ISBLANK(F644),""NA"", VLOOKUP(F644,IMPORTRANGE(""https://docs.google.com/spreadsheets/d/1EdCvim__xyxvoo9WoburDTzYylznTCOJBHcnu7eurMw/edit?gid=15948134#gid=15948134"", ""Purpose!A1:B1000""),2,FALSE()))"),"to train a model for generation tasks (i.e., code comments)")</f>
        <v>to train a model for generation tasks (i.e., code comments)</v>
      </c>
      <c r="K644" s="8" t="str">
        <f>IFERROR(__xludf.DUMMYFUNCTION("IF(ISBLANK(E644),""NA"", VLOOKUP(E644,IMPORTRANGE(""https://docs.google.com/spreadsheets/d/1EdCvim__xyxvoo9WoburDTzYylznTCOJBHcnu7eurMw/edit?gid=15948134#gid=15948134"", ""Technique!A1:B2000""),2,FALSE()))"),"use recurrent neural networks")</f>
        <v>use recurrent neural networks</v>
      </c>
      <c r="L644" s="8" t="str">
        <f>IFERROR(__xludf.DUMMYFUNCTION("IF(ISBLANK(D644),""NA"", VLOOKUP(D644,IMPORTRANGE(""https://docs.google.com/spreadsheets/d/1EdCvim__xyxvoo9WoburDTzYylznTCOJBHcnu7eurMw/edit?gid=15948134#gid=15948134"", ""Input!A1:B2000""),2,FALSE()))"),"embeddings (abstract system tree)")</f>
        <v>embeddings (abstract system tree)</v>
      </c>
    </row>
    <row r="645" hidden="1">
      <c r="A645" s="23" t="s">
        <v>2048</v>
      </c>
      <c r="B645" s="1">
        <v>11.0</v>
      </c>
      <c r="C645" s="1" t="s">
        <v>2072</v>
      </c>
      <c r="D645" s="1" t="s">
        <v>2073</v>
      </c>
      <c r="E645" s="14" t="s">
        <v>2074</v>
      </c>
      <c r="F645" s="14" t="s">
        <v>2075</v>
      </c>
      <c r="G645" s="1" t="s">
        <v>39</v>
      </c>
      <c r="H645" s="15" t="s">
        <v>2071</v>
      </c>
      <c r="J645" s="8" t="str">
        <f>IFERROR(__xludf.DUMMYFUNCTION("IF(ISBLANK(F645),""NA"", VLOOKUP(F645,IMPORTRANGE(""https://docs.google.com/spreadsheets/d/1EdCvim__xyxvoo9WoburDTzYylznTCOJBHcnu7eurMw/edit?gid=15948134#gid=15948134"", ""Purpose!A1:B1000""),2,FALSE()))"),"to understand how data preprocessing techniques affect the model results")</f>
        <v>to understand how data preprocessing techniques affect the model results</v>
      </c>
      <c r="K645" s="8" t="str">
        <f>IFERROR(__xludf.DUMMYFUNCTION("IF(ISBLANK(E645),""NA"", VLOOKUP(E645,IMPORTRANGE(""https://docs.google.com/spreadsheets/d/1EdCvim__xyxvoo9WoburDTzYylznTCOJBHcnu7eurMw/edit?gid=15948134#gid=15948134"", ""Technique!A1:B2000""),2,FALSE()))"),"ablation study (use different data preprocesing)")</f>
        <v>ablation study (use different data preprocesing)</v>
      </c>
      <c r="L645" s="8" t="str">
        <f>IFERROR(__xludf.DUMMYFUNCTION("IF(ISBLANK(D645),""NA"", VLOOKUP(D645,IMPORTRANGE(""https://docs.google.com/spreadsheets/d/1EdCvim__xyxvoo9WoburDTzYylznTCOJBHcnu7eurMw/edit?gid=15948134#gid=15948134"", ""Input!A1:B2000""),2,FALSE()))"),"embeddings + model(s)")</f>
        <v>embeddings + model(s)</v>
      </c>
    </row>
    <row r="646" hidden="1">
      <c r="A646" s="23" t="s">
        <v>2048</v>
      </c>
      <c r="B646" s="1" t="s">
        <v>2076</v>
      </c>
      <c r="C646" s="1" t="s">
        <v>2072</v>
      </c>
      <c r="D646" s="1" t="s">
        <v>2073</v>
      </c>
      <c r="E646" s="14" t="s">
        <v>2077</v>
      </c>
      <c r="F646" s="14" t="s">
        <v>2078</v>
      </c>
      <c r="G646" s="1" t="s">
        <v>39</v>
      </c>
      <c r="H646" s="15" t="s">
        <v>2071</v>
      </c>
      <c r="J646" s="8" t="str">
        <f>IFERROR(__xludf.DUMMYFUNCTION("IF(ISBLANK(F646),""NA"", VLOOKUP(F646,IMPORTRANGE(""https://docs.google.com/spreadsheets/d/1EdCvim__xyxvoo9WoburDTzYylznTCOJBHcnu7eurMw/edit?gid=15948134#gid=15948134"", ""Purpose!A1:B1000""),2,FALSE()))"),"to understand how different embeddings affect the model results")</f>
        <v>to understand how different embeddings affect the model results</v>
      </c>
      <c r="K646" s="8" t="str">
        <f>IFERROR(__xludf.DUMMYFUNCTION("IF(ISBLANK(E646),""NA"", VLOOKUP(E646,IMPORTRANGE(""https://docs.google.com/spreadsheets/d/1EdCvim__xyxvoo9WoburDTzYylznTCOJBHcnu7eurMw/edit?gid=15948134#gid=15948134"", ""Technique!A1:B2000""),2,FALSE()))"),"ablation study (change embeddings)")</f>
        <v>ablation study (change embeddings)</v>
      </c>
      <c r="L646" s="8" t="str">
        <f>IFERROR(__xludf.DUMMYFUNCTION("IF(ISBLANK(D646),""NA"", VLOOKUP(D646,IMPORTRANGE(""https://docs.google.com/spreadsheets/d/1EdCvim__xyxvoo9WoburDTzYylznTCOJBHcnu7eurMw/edit?gid=15948134#gid=15948134"", ""Input!A1:B2000""),2,FALSE()))"),"embeddings + model(s)")</f>
        <v>embeddings + model(s)</v>
      </c>
    </row>
    <row r="647" hidden="1">
      <c r="A647" s="23" t="s">
        <v>2048</v>
      </c>
      <c r="B647" s="1">
        <v>14.0</v>
      </c>
      <c r="C647" s="1" t="s">
        <v>2079</v>
      </c>
      <c r="D647" s="1" t="s">
        <v>2080</v>
      </c>
      <c r="E647" s="14" t="s">
        <v>357</v>
      </c>
      <c r="F647" s="14" t="s">
        <v>358</v>
      </c>
      <c r="G647" s="1" t="s">
        <v>39</v>
      </c>
      <c r="H647" s="15" t="s">
        <v>428</v>
      </c>
      <c r="J647" s="8" t="str">
        <f>IFERROR(__xludf.DUMMYFUNCTION("IF(ISBLANK(F647),""NA"", VLOOKUP(F647,IMPORTRANGE(""https://docs.google.com/spreadsheets/d/1EdCvim__xyxvoo9WoburDTzYylznTCOJBHcnu7eurMw/edit?gid=15948134#gid=15948134"", ""Purpose!A1:B1000""),2,FALSE()))"),"to evaluate model(s) functionally (e.g., accuracy)")</f>
        <v>to evaluate model(s) functionally (e.g., accuracy)</v>
      </c>
      <c r="K647" s="8" t="str">
        <f>IFERROR(__xludf.DUMMYFUNCTION("IF(ISBLANK(E647),""NA"", VLOOKUP(E647,IMPORTRANGE(""https://docs.google.com/spreadsheets/d/1EdCvim__xyxvoo9WoburDTzYylznTCOJBHcnu7eurMw/edit?gid=15948134#gid=15948134"", ""Technique!A1:B2000""),2,FALSE()))"),"use existing benchmarks")</f>
        <v>use existing benchmarks</v>
      </c>
      <c r="L647" s="8" t="str">
        <f>IFERROR(__xludf.DUMMYFUNCTION("IF(ISBLANK(D647),""NA"", VLOOKUP(D647,IMPORTRANGE(""https://docs.google.com/spreadsheets/d/1EdCvim__xyxvoo9WoburDTzYylznTCOJBHcnu7eurMw/edit?gid=15948134#gid=15948134"", ""Input!A1:B2000""),2,FALSE()))"),"data + model(s)")</f>
        <v>data + model(s)</v>
      </c>
    </row>
    <row r="648" hidden="1">
      <c r="A648" s="23" t="s">
        <v>2048</v>
      </c>
      <c r="B648" s="1">
        <v>7.0</v>
      </c>
      <c r="C648" s="1" t="s">
        <v>2081</v>
      </c>
      <c r="D648" s="1" t="s">
        <v>412</v>
      </c>
      <c r="E648" s="14" t="s">
        <v>2082</v>
      </c>
      <c r="F648" s="14" t="s">
        <v>2083</v>
      </c>
      <c r="G648" s="1" t="s">
        <v>39</v>
      </c>
      <c r="H648" s="15" t="s">
        <v>428</v>
      </c>
      <c r="J648" s="8" t="str">
        <f>IFERROR(__xludf.DUMMYFUNCTION("IF(ISBLANK(F648),""NA"", VLOOKUP(F648,IMPORTRANGE(""https://docs.google.com/spreadsheets/d/1EdCvim__xyxvoo9WoburDTzYylznTCOJBHcnu7eurMw/edit?gid=15948134#gid=15948134"", ""Purpose!A1:B1000""),2,FALSE()))"),"to evaluate model(s) functionally (e.g., accuracy)")</f>
        <v>to evaluate model(s) functionally (e.g., accuracy)</v>
      </c>
      <c r="K648" s="8" t="str">
        <f>IFERROR(__xludf.DUMMYFUNCTION("IF(ISBLANK(E648),""NA"", VLOOKUP(E648,IMPORTRANGE(""https://docs.google.com/spreadsheets/d/1EdCvim__xyxvoo9WoburDTzYylznTCOJBHcnu7eurMw/edit?gid=15948134#gid=15948134"", ""Technique!A1:B2000""),2,FALSE()))"),"compute metrics (i.e., BLEU)")</f>
        <v>compute metrics (i.e., BLEU)</v>
      </c>
      <c r="L648" s="8" t="str">
        <f>IFERROR(__xludf.DUMMYFUNCTION("IF(ISBLANK(D648),""NA"", VLOOKUP(D648,IMPORTRANGE(""https://docs.google.com/spreadsheets/d/1EdCvim__xyxvoo9WoburDTzYylznTCOJBHcnu7eurMw/edit?gid=15948134#gid=15948134"", ""Input!A1:B2000""),2,FALSE()))"),"data + model(s)")</f>
        <v>data + model(s)</v>
      </c>
    </row>
    <row r="649" hidden="1">
      <c r="A649" s="23" t="s">
        <v>2048</v>
      </c>
      <c r="B649" s="1">
        <v>15.0</v>
      </c>
      <c r="C649" s="1" t="s">
        <v>2084</v>
      </c>
      <c r="D649" s="1" t="s">
        <v>412</v>
      </c>
      <c r="E649" s="14" t="s">
        <v>2085</v>
      </c>
      <c r="F649" s="14" t="s">
        <v>358</v>
      </c>
      <c r="G649" s="1" t="s">
        <v>39</v>
      </c>
      <c r="H649" s="15" t="s">
        <v>428</v>
      </c>
      <c r="J649" s="8" t="str">
        <f>IFERROR(__xludf.DUMMYFUNCTION("IF(ISBLANK(F649),""NA"", VLOOKUP(F649,IMPORTRANGE(""https://docs.google.com/spreadsheets/d/1EdCvim__xyxvoo9WoburDTzYylznTCOJBHcnu7eurMw/edit?gid=15948134#gid=15948134"", ""Purpose!A1:B1000""),2,FALSE()))"),"to evaluate model(s) functionally (e.g., accuracy)")</f>
        <v>to evaluate model(s) functionally (e.g., accuracy)</v>
      </c>
      <c r="K649" s="8" t="str">
        <f>IFERROR(__xludf.DUMMYFUNCTION("IF(ISBLANK(E649),""NA"", VLOOKUP(E649,IMPORTRANGE(""https://docs.google.com/spreadsheets/d/1EdCvim__xyxvoo9WoburDTzYylznTCOJBHcnu7eurMw/edit?gid=15948134#gid=15948134"", ""Technique!A1:B2000""),2,FALSE()))"),"compute classical metrics (i.e., Precision, Recall. F-meassure)")</f>
        <v>compute classical metrics (i.e., Precision, Recall. F-meassure)</v>
      </c>
      <c r="L649" s="8" t="str">
        <f>IFERROR(__xludf.DUMMYFUNCTION("IF(ISBLANK(D649),""NA"", VLOOKUP(D649,IMPORTRANGE(""https://docs.google.com/spreadsheets/d/1EdCvim__xyxvoo9WoburDTzYylznTCOJBHcnu7eurMw/edit?gid=15948134#gid=15948134"", ""Input!A1:B2000""),2,FALSE()))"),"data + model(s)")</f>
        <v>data + model(s)</v>
      </c>
    </row>
    <row r="650" hidden="1">
      <c r="A650" s="23" t="s">
        <v>2048</v>
      </c>
      <c r="B650" s="1">
        <v>12.0</v>
      </c>
      <c r="C650" s="1" t="s">
        <v>2086</v>
      </c>
      <c r="D650" s="1" t="s">
        <v>2087</v>
      </c>
      <c r="E650" s="14" t="s">
        <v>2088</v>
      </c>
      <c r="F650" s="14" t="s">
        <v>2089</v>
      </c>
      <c r="G650" s="1" t="s">
        <v>14</v>
      </c>
      <c r="H650" s="15" t="s">
        <v>2090</v>
      </c>
      <c r="J650" s="8" t="str">
        <f>IFERROR(__xludf.DUMMYFUNCTION("IF(ISBLANK(F650),""NA"", VLOOKUP(F650,IMPORTRANGE(""https://docs.google.com/spreadsheets/d/1EdCvim__xyxvoo9WoburDTzYylznTCOJBHcnu7eurMw/edit?gid=15948134#gid=15948134"", ""Purpose!A1:B1000""),2,FALSE()))"),"to select features")</f>
        <v>to select features</v>
      </c>
      <c r="K650" s="8" t="str">
        <f>IFERROR(__xludf.DUMMYFUNCTION("IF(ISBLANK(E650),""NA"", VLOOKUP(E650,IMPORTRANGE(""https://docs.google.com/spreadsheets/d/1EdCvim__xyxvoo9WoburDTzYylznTCOJBHcnu7eurMw/edit?gid=15948134#gid=15948134"", ""Technique!A1:B2000""),2,FALSE()))"),"feature selection with Anova F-Value")</f>
        <v>feature selection with Anova F-Value</v>
      </c>
      <c r="L650" s="8" t="str">
        <f>IFERROR(__xludf.DUMMYFUNCTION("IF(ISBLANK(D650),""NA"", VLOOKUP(D650,IMPORTRANGE(""https://docs.google.com/spreadsheets/d/1EdCvim__xyxvoo9WoburDTzYylznTCOJBHcnu7eurMw/edit?gid=15948134#gid=15948134"", ""Input!A1:B2000""),2,FALSE()))"),"tf-idf representation (code data)")</f>
        <v>tf-idf representation (code data)</v>
      </c>
    </row>
    <row r="651" hidden="1">
      <c r="A651" s="23" t="s">
        <v>2091</v>
      </c>
      <c r="B651" s="1" t="s">
        <v>285</v>
      </c>
      <c r="C651" s="1" t="s">
        <v>2092</v>
      </c>
      <c r="D651" s="1" t="s">
        <v>2093</v>
      </c>
      <c r="E651" s="14" t="s">
        <v>2094</v>
      </c>
      <c r="F651" s="14" t="s">
        <v>2095</v>
      </c>
      <c r="G651" s="1" t="s">
        <v>14</v>
      </c>
      <c r="H651" s="15" t="s">
        <v>2096</v>
      </c>
      <c r="J651" s="8" t="str">
        <f>IFERROR(__xludf.DUMMYFUNCTION("IF(ISBLANK(F651),""NA"", VLOOKUP(F651,IMPORTRANGE(""https://docs.google.com/spreadsheets/d/1EdCvim__xyxvoo9WoburDTzYylznTCOJBHcnu7eurMw/edit?gid=15948134#gid=15948134"", ""Purpose!A1:B1000""),2,FALSE()))"),"to transform the data into the required input (for embedding)")</f>
        <v>to transform the data into the required input (for embedding)</v>
      </c>
      <c r="K651" s="8" t="str">
        <f>IFERROR(__xludf.DUMMYFUNCTION("IF(ISBLANK(E651),""NA"", VLOOKUP(E651,IMPORTRANGE(""https://docs.google.com/spreadsheets/d/1EdCvim__xyxvoo9WoburDTzYylznTCOJBHcnu7eurMw/edit?gid=15948134#gid=15948134"", ""Technique!A1:B2000""),2,FALSE()))"),"tokenize by capital letters and underscore code data")</f>
        <v>tokenize by capital letters and underscore code data</v>
      </c>
      <c r="L651" s="8" t="str">
        <f>IFERROR(__xludf.DUMMYFUNCTION("IF(ISBLANK(D651),""NA"", VLOOKUP(D651,IMPORTRANGE(""https://docs.google.com/spreadsheets/d/1EdCvim__xyxvoo9WoburDTzYylznTCOJBHcnu7eurMw/edit?gid=15948134#gid=15948134"", ""Input!A1:B2000""),2,FALSE()))"),"code data (methods name)")</f>
        <v>code data (methods name)</v>
      </c>
    </row>
    <row r="652" hidden="1">
      <c r="A652" s="23" t="s">
        <v>2091</v>
      </c>
      <c r="B652" s="1" t="s">
        <v>266</v>
      </c>
      <c r="C652" s="1" t="s">
        <v>2092</v>
      </c>
      <c r="D652" s="1" t="s">
        <v>2097</v>
      </c>
      <c r="E652" s="14" t="s">
        <v>2098</v>
      </c>
      <c r="F652" s="14" t="s">
        <v>2099</v>
      </c>
      <c r="G652" s="1" t="s">
        <v>14</v>
      </c>
      <c r="H652" s="15" t="s">
        <v>2096</v>
      </c>
      <c r="J652" s="8" t="str">
        <f>IFERROR(__xludf.DUMMYFUNCTION("IF(ISBLANK(F652),""NA"", VLOOKUP(F652,IMPORTRANGE(""https://docs.google.com/spreadsheets/d/1EdCvim__xyxvoo9WoburDTzYylznTCOJBHcnu7eurMw/edit?gid=15948134#gid=15948134"", ""Purpose!A1:B1000""),2,FALSE()))"),"to transform the data into the required input (for embedding)")</f>
        <v>to transform the data into the required input (for embedding)</v>
      </c>
      <c r="K652" s="8" t="str">
        <f>IFERROR(__xludf.DUMMYFUNCTION("IF(ISBLANK(E652),""NA"", VLOOKUP(E652,IMPORTRANGE(""https://docs.google.com/spreadsheets/d/1EdCvim__xyxvoo9WoburDTzYylznTCOJBHcnu7eurMw/edit?gid=15948134#gid=15948134"", ""Technique!A1:B2000""),2,FALSE()))"),"tokenize using AST tree nodes + replace special terms with canonical tokens (i.e., non descriptive to standard)")</f>
        <v>tokenize using AST tree nodes + replace special terms with canonical tokens (i.e., non descriptive to standard)</v>
      </c>
      <c r="L652" s="8" t="str">
        <f>IFERROR(__xludf.DUMMYFUNCTION("IF(ISBLANK(D652),""NA"", VLOOKUP(D652,IMPORTRANGE(""https://docs.google.com/spreadsheets/d/1EdCvim__xyxvoo9WoburDTzYylznTCOJBHcnu7eurMw/edit?gid=15948134#gid=15948134"", ""Input!A1:B2000""),2,FALSE()))"),"code data (methods)")</f>
        <v>code data (methods)</v>
      </c>
    </row>
    <row r="653" hidden="1">
      <c r="A653" s="23" t="s">
        <v>2091</v>
      </c>
      <c r="B653" s="1" t="s">
        <v>2100</v>
      </c>
      <c r="C653" s="1" t="s">
        <v>2101</v>
      </c>
      <c r="D653" s="1" t="s">
        <v>2102</v>
      </c>
      <c r="E653" s="14" t="s">
        <v>2103</v>
      </c>
      <c r="F653" s="14" t="s">
        <v>2104</v>
      </c>
      <c r="G653" s="1" t="s">
        <v>14</v>
      </c>
      <c r="H653" s="15" t="s">
        <v>2096</v>
      </c>
      <c r="J653" s="8" t="str">
        <f>IFERROR(__xludf.DUMMYFUNCTION("IF(ISBLANK(F653),""NA"", VLOOKUP(F653,IMPORTRANGE(""https://docs.google.com/spreadsheets/d/1EdCvim__xyxvoo9WoburDTzYylznTCOJBHcnu7eurMw/edit?gid=15948134#gid=15948134"", ""Purpose!A1:B1000""),2,FALSE()))"),"to embed textual data into numerical vectors")</f>
        <v>to embed textual data into numerical vectors</v>
      </c>
      <c r="K653" s="8" t="str">
        <f>IFERROR(__xludf.DUMMYFUNCTION("IF(ISBLANK(E653),""NA"", VLOOKUP(E653,IMPORTRANGE(""https://docs.google.com/spreadsheets/d/1EdCvim__xyxvoo9WoburDTzYylznTCOJBHcnu7eurMw/edit?gid=15948134#gid=15948134"", ""Technique!A1:B2000""),2,FALSE()))"),"use embeddings, ParagraphVector")</f>
        <v>use embeddings, ParagraphVector</v>
      </c>
      <c r="L653" s="8" t="str">
        <f>IFERROR(__xludf.DUMMYFUNCTION("IF(ISBLANK(D653),""NA"", VLOOKUP(D653,IMPORTRANGE(""https://docs.google.com/spreadsheets/d/1EdCvim__xyxvoo9WoburDTzYylznTCOJBHcnu7eurMw/edit?gid=15948134#gid=15948134"", ""Input!A1:B2000""),2,FALSE()))"),"token representation (code data, methods names)")</f>
        <v>token representation (code data, methods names)</v>
      </c>
    </row>
    <row r="654" hidden="1">
      <c r="A654" s="23" t="s">
        <v>2091</v>
      </c>
      <c r="B654" s="1" t="s">
        <v>2105</v>
      </c>
      <c r="C654" s="1" t="s">
        <v>2106</v>
      </c>
      <c r="D654" s="1" t="s">
        <v>2107</v>
      </c>
      <c r="E654" s="14" t="s">
        <v>2108</v>
      </c>
      <c r="F654" s="14" t="s">
        <v>2104</v>
      </c>
      <c r="G654" s="1" t="s">
        <v>14</v>
      </c>
      <c r="H654" s="15" t="s">
        <v>2096</v>
      </c>
      <c r="J654" s="8" t="str">
        <f>IFERROR(__xludf.DUMMYFUNCTION("IF(ISBLANK(F654),""NA"", VLOOKUP(F654,IMPORTRANGE(""https://docs.google.com/spreadsheets/d/1EdCvim__xyxvoo9WoburDTzYylznTCOJBHcnu7eurMw/edit?gid=15948134#gid=15948134"", ""Purpose!A1:B1000""),2,FALSE()))"),"to embed textual data into numerical vectors")</f>
        <v>to embed textual data into numerical vectors</v>
      </c>
      <c r="K654" s="8" t="str">
        <f>IFERROR(__xludf.DUMMYFUNCTION("IF(ISBLANK(E654),""NA"", VLOOKUP(E654,IMPORTRANGE(""https://docs.google.com/spreadsheets/d/1EdCvim__xyxvoo9WoburDTzYylznTCOJBHcnu7eurMw/edit?gid=15948134#gid=15948134"", ""Technique!A1:B2000""),2,FALSE()))"),"use embeddings, Word2vec")</f>
        <v>use embeddings, Word2vec</v>
      </c>
      <c r="L654" s="8" t="str">
        <f>IFERROR(__xludf.DUMMYFUNCTION("IF(ISBLANK(D654),""NA"", VLOOKUP(D654,IMPORTRANGE(""https://docs.google.com/spreadsheets/d/1EdCvim__xyxvoo9WoburDTzYylznTCOJBHcnu7eurMw/edit?gid=15948134#gid=15948134"", ""Input!A1:B2000""),2,FALSE()))"),"token representation (code data, methods bodies)")</f>
        <v>token representation (code data, methods bodies)</v>
      </c>
    </row>
    <row r="655" hidden="1">
      <c r="A655" s="23" t="s">
        <v>2091</v>
      </c>
      <c r="B655" s="1">
        <v>12.0</v>
      </c>
      <c r="C655" s="1" t="s">
        <v>2106</v>
      </c>
      <c r="D655" s="1" t="s">
        <v>2109</v>
      </c>
      <c r="E655" s="14" t="s">
        <v>2110</v>
      </c>
      <c r="F655" s="14" t="s">
        <v>2111</v>
      </c>
      <c r="G655" s="1" t="s">
        <v>14</v>
      </c>
      <c r="H655" s="15" t="s">
        <v>2096</v>
      </c>
      <c r="J655" s="8" t="str">
        <f>IFERROR(__xludf.DUMMYFUNCTION("IF(ISBLANK(F655),""NA"", VLOOKUP(F655,IMPORTRANGE(""https://docs.google.com/spreadsheets/d/1EdCvim__xyxvoo9WoburDTzYylznTCOJBHcnu7eurMw/edit?gid=15948134#gid=15948134"", ""Purpose!A1:B1000""),2,FALSE()))"),"to homogenize the lengths of the vectors")</f>
        <v>to homogenize the lengths of the vectors</v>
      </c>
      <c r="K655" s="8" t="str">
        <f>IFERROR(__xludf.DUMMYFUNCTION("IF(ISBLANK(E655),""NA"", VLOOKUP(E655,IMPORTRANGE(""https://docs.google.com/spreadsheets/d/1EdCvim__xyxvoo9WoburDTzYylznTCOJBHcnu7eurMw/edit?gid=15948134#gid=15948134"", ""Technique!A1:B2000""),2,FALSE()))"),"padding (i.e., add 0 at the end)")</f>
        <v>padding (i.e., add 0 at the end)</v>
      </c>
      <c r="L655" s="8" t="str">
        <f>IFERROR(__xludf.DUMMYFUNCTION("IF(ISBLANK(D655),""NA"", VLOOKUP(D655,IMPORTRANGE(""https://docs.google.com/spreadsheets/d/1EdCvim__xyxvoo9WoburDTzYylznTCOJBHcnu7eurMw/edit?gid=15948134#gid=15948134"", ""Input!A1:B2000""),2,FALSE()))"),"vector representation (code data)")</f>
        <v>vector representation (code data)</v>
      </c>
    </row>
    <row r="656" hidden="1">
      <c r="A656" s="23" t="s">
        <v>2091</v>
      </c>
      <c r="B656" s="1">
        <v>13.0</v>
      </c>
      <c r="C656" s="1" t="s">
        <v>2112</v>
      </c>
      <c r="D656" s="1" t="s">
        <v>2113</v>
      </c>
      <c r="E656" s="16" t="s">
        <v>2114</v>
      </c>
      <c r="F656" s="14" t="s">
        <v>2115</v>
      </c>
      <c r="G656" s="1" t="s">
        <v>54</v>
      </c>
      <c r="H656" s="15" t="s">
        <v>2096</v>
      </c>
      <c r="J656" s="8" t="str">
        <f>IFERROR(__xludf.DUMMYFUNCTION("IF(ISBLANK(F656),""NA"", VLOOKUP(F656,IMPORTRANGE(""https://docs.google.com/spreadsheets/d/1EdCvim__xyxvoo9WoburDTzYylznTCOJBHcnu7eurMw/edit?gid=15948134#gid=15948134"", ""Purpose!A1:B1000""),2,FALSE()))"),"to train a model for generation tasks (i.e., name of functions)")</f>
        <v>to train a model for generation tasks (i.e., name of functions)</v>
      </c>
      <c r="K656" s="8" t="str">
        <f>IFERROR(__xludf.DUMMYFUNCTION("IF(ISBLANK(E656),""NA"", VLOOKUP(E656,IMPORTRANGE(""https://docs.google.com/spreadsheets/d/1EdCvim__xyxvoo9WoburDTzYylznTCOJBHcnu7eurMw/edit?gid=15948134#gid=15948134"", ""Technique!A1:B2000""),2,FALSE()))"),"use convolutional neural networks")</f>
        <v>use convolutional neural networks</v>
      </c>
      <c r="L656" s="8" t="str">
        <f>IFERROR(__xludf.DUMMYFUNCTION("IF(ISBLANK(D656),""NA"", VLOOKUP(D656,IMPORTRANGE(""https://docs.google.com/spreadsheets/d/1EdCvim__xyxvoo9WoburDTzYylznTCOJBHcnu7eurMw/edit?gid=15948134#gid=15948134"", ""Input!A1:B2000""),2,FALSE()))"),"vector representation (code data, method bodies)")</f>
        <v>vector representation (code data, method bodies)</v>
      </c>
    </row>
    <row r="657" hidden="1">
      <c r="A657" s="23" t="s">
        <v>2091</v>
      </c>
      <c r="B657" s="1">
        <v>14.0</v>
      </c>
      <c r="C657" s="1" t="s">
        <v>2116</v>
      </c>
      <c r="E657" s="14" t="s">
        <v>2117</v>
      </c>
      <c r="F657" s="14" t="s">
        <v>98</v>
      </c>
      <c r="G657" s="1" t="s">
        <v>44</v>
      </c>
      <c r="H657" s="15" t="s">
        <v>2096</v>
      </c>
      <c r="J657" s="8" t="str">
        <f>IFERROR(__xludf.DUMMYFUNCTION("IF(ISBLANK(F657),""NA"", VLOOKUP(F657,IMPORTRANGE(""https://docs.google.com/spreadsheets/d/1EdCvim__xyxvoo9WoburDTzYylznTCOJBHcnu7eurMw/edit?gid=15948134#gid=15948134"", ""Purpose!A1:B1000""),2,FALSE()))"),"to collect data")</f>
        <v>to collect data</v>
      </c>
      <c r="K657" s="8" t="str">
        <f>IFERROR(__xludf.DUMMYFUNCTION("IF(ISBLANK(E657),""NA"", VLOOKUP(E657,IMPORTRANGE(""https://docs.google.com/spreadsheets/d/1EdCvim__xyxvoo9WoburDTzYylznTCOJBHcnu7eurMw/edit?gid=15948134#gid=15948134"", ""Technique!A1:B2000""),2,FALSE()))"),"collect own data from open-source projects")</f>
        <v>collect own data from open-source projects</v>
      </c>
      <c r="L657" s="8" t="str">
        <f>IFERROR(__xludf.DUMMYFUNCTION("IF(ISBLANK(D657),""NA"", VLOOKUP(D657,IMPORTRANGE(""https://docs.google.com/spreadsheets/d/1EdCvim__xyxvoo9WoburDTzYylznTCOJBHcnu7eurMw/edit?gid=15948134#gid=15948134"", ""Input!A1:B2000""),2,FALSE()))"),"NA")</f>
        <v>NA</v>
      </c>
    </row>
    <row r="658" hidden="1">
      <c r="A658" s="23" t="s">
        <v>2091</v>
      </c>
      <c r="B658" s="1">
        <v>3.0</v>
      </c>
      <c r="C658" s="1" t="s">
        <v>2118</v>
      </c>
      <c r="D658" s="1" t="s">
        <v>2119</v>
      </c>
      <c r="E658" s="16" t="s">
        <v>2120</v>
      </c>
      <c r="F658" s="14" t="s">
        <v>2121</v>
      </c>
      <c r="G658" s="1" t="s">
        <v>20</v>
      </c>
      <c r="H658" s="15" t="s">
        <v>2096</v>
      </c>
      <c r="J658" s="8" t="str">
        <f>IFERROR(__xludf.DUMMYFUNCTION("IF(ISBLANK(F658),""NA"", VLOOKUP(F658,IMPORTRANGE(""https://docs.google.com/spreadsheets/d/1EdCvim__xyxvoo9WoburDTzYylznTCOJBHcnu7eurMw/edit?gid=15948134#gid=15948134"", ""Purpose!A1:B1000""),2,FALSE()))"),"to remove the noise in data")</f>
        <v>to remove the noise in data</v>
      </c>
      <c r="K658" s="8" t="str">
        <f>IFERROR(__xludf.DUMMYFUNCTION("IF(ISBLANK(E658),""NA"", VLOOKUP(E658,IMPORTRANGE(""https://docs.google.com/spreadsheets/d/1EdCvim__xyxvoo9WoburDTzYylznTCOJBHcnu7eurMw/edit?gid=15948134#gid=15948134"", ""Technique!A1:B2000""),2,FALSE()))"),"filter projects based on number of commits (i.e., keep project with at least a X number)")</f>
        <v>filter projects based on number of commits (i.e., keep project with at least a X number)</v>
      </c>
      <c r="L658" s="8" t="str">
        <f>IFERROR(__xludf.DUMMYFUNCTION("IF(ISBLANK(D658),""NA"", VLOOKUP(D658,IMPORTRANGE(""https://docs.google.com/spreadsheets/d/1EdCvim__xyxvoo9WoburDTzYylznTCOJBHcnu7eurMw/edit?gid=15948134#gid=15948134"", ""Input!A1:B2000""),2,FALSE()))"),"code data (open source)")</f>
        <v>code data (open source)</v>
      </c>
    </row>
    <row r="659" hidden="1">
      <c r="A659" s="23" t="s">
        <v>2091</v>
      </c>
      <c r="B659" s="1" t="s">
        <v>2122</v>
      </c>
      <c r="C659" s="1" t="s">
        <v>2118</v>
      </c>
      <c r="D659" s="1" t="s">
        <v>2123</v>
      </c>
      <c r="E659" s="24" t="s">
        <v>2124</v>
      </c>
      <c r="F659" s="14" t="s">
        <v>2121</v>
      </c>
      <c r="G659" s="1" t="s">
        <v>20</v>
      </c>
      <c r="H659" s="15" t="s">
        <v>2096</v>
      </c>
      <c r="J659" s="8" t="str">
        <f>IFERROR(__xludf.DUMMYFUNCTION("IF(ISBLANK(F659),""NA"", VLOOKUP(F659,IMPORTRANGE(""https://docs.google.com/spreadsheets/d/1EdCvim__xyxvoo9WoburDTzYylznTCOJBHcnu7eurMw/edit?gid=15948134#gid=15948134"", ""Purpose!A1:B1000""),2,FALSE()))"),"to remove the noise in data")</f>
        <v>to remove the noise in data</v>
      </c>
      <c r="K659" s="8" t="str">
        <f>IFERROR(__xludf.DUMMYFUNCTION("IF(ISBLANK(E659),""NA"", VLOOKUP(E659,IMPORTRANGE(""https://docs.google.com/spreadsheets/d/1EdCvim__xyxvoo9WoburDTzYylznTCOJBHcnu7eurMw/edit?gid=15948134#gid=15948134"", ""Technique!A1:B2000""),2,FALSE()))"),"filter out noisy methods (i.e., constructors, main and example methods)")</f>
        <v>filter out noisy methods (i.e., constructors, main and example methods)</v>
      </c>
      <c r="L659" s="8" t="str">
        <f>IFERROR(__xludf.DUMMYFUNCTION("IF(ISBLANK(D659),""NA"", VLOOKUP(D659,IMPORTRANGE(""https://docs.google.com/spreadsheets/d/1EdCvim__xyxvoo9WoburDTzYylznTCOJBHcnu7eurMw/edit?gid=15948134#gid=15948134"", ""Input!A1:B2000""),2,FALSE()))"),"code data (methods and name)")</f>
        <v>code data (methods and name)</v>
      </c>
    </row>
    <row r="660" hidden="1">
      <c r="A660" s="23" t="s">
        <v>2091</v>
      </c>
      <c r="B660" s="1" t="s">
        <v>92</v>
      </c>
      <c r="C660" s="1" t="s">
        <v>2118</v>
      </c>
      <c r="D660" s="1" t="s">
        <v>2123</v>
      </c>
      <c r="E660" s="14" t="s">
        <v>2125</v>
      </c>
      <c r="F660" s="14" t="s">
        <v>2126</v>
      </c>
      <c r="G660" s="1" t="s">
        <v>44</v>
      </c>
      <c r="H660" s="15" t="s">
        <v>2096</v>
      </c>
      <c r="J660" s="8" t="str">
        <f>IFERROR(__xludf.DUMMYFUNCTION("IF(ISBLANK(F660),""NA"", VLOOKUP(F660,IMPORTRANGE(""https://docs.google.com/spreadsheets/d/1EdCvim__xyxvoo9WoburDTzYylznTCOJBHcnu7eurMw/edit?gid=15948134#gid=15948134"", ""Purpose!A1:B1000""),2,FALSE()))"),"to avoid data leakage")</f>
        <v>to avoid data leakage</v>
      </c>
      <c r="K660" s="8" t="str">
        <f>IFERROR(__xludf.DUMMYFUNCTION("IF(ISBLANK(E660),""NA"", VLOOKUP(E660,IMPORTRANGE(""https://docs.google.com/spreadsheets/d/1EdCvim__xyxvoo9WoburDTzYylznTCOJBHcnu7eurMw/edit?gid=15948134#gid=15948134"", ""Technique!A1:B2000""),2,FALSE()))"),"remove from training set data related to test set (e.g., methods from training which are going to be used for testing)")</f>
        <v>remove from training set data related to test set (e.g., methods from training which are going to be used for testing)</v>
      </c>
      <c r="L660" s="8" t="str">
        <f>IFERROR(__xludf.DUMMYFUNCTION("IF(ISBLANK(D660),""NA"", VLOOKUP(D660,IMPORTRANGE(""https://docs.google.com/spreadsheets/d/1EdCvim__xyxvoo9WoburDTzYylznTCOJBHcnu7eurMw/edit?gid=15948134#gid=15948134"", ""Input!A1:B2000""),2,FALSE()))"),"code data (methods and name)")</f>
        <v>code data (methods and name)</v>
      </c>
    </row>
    <row r="661" hidden="1">
      <c r="A661" s="23" t="s">
        <v>2091</v>
      </c>
      <c r="B661" s="1" t="s">
        <v>1564</v>
      </c>
      <c r="C661" s="1" t="s">
        <v>2116</v>
      </c>
      <c r="D661" s="1" t="s">
        <v>2127</v>
      </c>
      <c r="E661" s="16" t="s">
        <v>2128</v>
      </c>
      <c r="F661" s="14" t="s">
        <v>2121</v>
      </c>
      <c r="G661" s="1" t="s">
        <v>20</v>
      </c>
      <c r="H661" s="15" t="s">
        <v>2096</v>
      </c>
      <c r="J661" s="8" t="str">
        <f>IFERROR(__xludf.DUMMYFUNCTION("IF(ISBLANK(F661),""NA"", VLOOKUP(F661,IMPORTRANGE(""https://docs.google.com/spreadsheets/d/1EdCvim__xyxvoo9WoburDTzYylznTCOJBHcnu7eurMw/edit?gid=15948134#gid=15948134"", ""Purpose!A1:B1000""),2,FALSE()))"),"to remove the noise in data")</f>
        <v>to remove the noise in data</v>
      </c>
      <c r="K661" s="8" t="str">
        <f>IFERROR(__xludf.DUMMYFUNCTION("IF(ISBLANK(E661),""NA"", VLOOKUP(E661,IMPORTRANGE(""https://docs.google.com/spreadsheets/d/1EdCvim__xyxvoo9WoburDTzYylznTCOJBHcnu7eurMw/edit?gid=15948134#gid=15948134"", ""Technique!A1:B2000""),2,FALSE()))"),"filter out noisy methods (i.e., empthy methods)")</f>
        <v>filter out noisy methods (i.e., empthy methods)</v>
      </c>
      <c r="L661" s="8" t="str">
        <f>IFERROR(__xludf.DUMMYFUNCTION("IF(ISBLANK(D661),""NA"", VLOOKUP(D661,IMPORTRANGE(""https://docs.google.com/spreadsheets/d/1EdCvim__xyxvoo9WoburDTzYylznTCOJBHcnu7eurMw/edit?gid=15948134#gid=15948134"", ""Input!A1:B2000""),2,FALSE()))"),"code data (methods and name)")</f>
        <v>code data (methods and name)</v>
      </c>
    </row>
    <row r="662" hidden="1">
      <c r="A662" s="23" t="s">
        <v>2091</v>
      </c>
      <c r="B662" s="1" t="s">
        <v>1919</v>
      </c>
      <c r="C662" s="1" t="s">
        <v>2116</v>
      </c>
      <c r="D662" s="1" t="s">
        <v>2127</v>
      </c>
      <c r="E662" s="16" t="s">
        <v>2129</v>
      </c>
      <c r="F662" s="14" t="s">
        <v>2130</v>
      </c>
      <c r="G662" s="1" t="s">
        <v>20</v>
      </c>
      <c r="H662" s="15" t="s">
        <v>2096</v>
      </c>
      <c r="J662" s="8" t="str">
        <f>IFERROR(__xludf.DUMMYFUNCTION("IF(ISBLANK(F662),""NA"", VLOOKUP(F662,IMPORTRANGE(""https://docs.google.com/spreadsheets/d/1EdCvim__xyxvoo9WoburDTzYylznTCOJBHcnu7eurMw/edit?gid=15948134#gid=15948134"", ""Purpose!A1:B1000""),2,FALSE()))"),"to drop data that does not contribute to the model")</f>
        <v>to drop data that does not contribute to the model</v>
      </c>
      <c r="K662" s="8" t="str">
        <f>IFERROR(__xludf.DUMMYFUNCTION("IF(ISBLANK(E662),""NA"", VLOOKUP(E662,IMPORTRANGE(""https://docs.google.com/spreadsheets/d/1EdCvim__xyxvoo9WoburDTzYylznTCOJBHcnu7eurMw/edit?gid=15948134#gid=15948134"", ""Technique!A1:B2000""),2,FALSE()))"),"filter out noisy methods (i.e., methods without alphabetic letters in name)")</f>
        <v>filter out noisy methods (i.e., methods without alphabetic letters in name)</v>
      </c>
      <c r="L662" s="8" t="str">
        <f>IFERROR(__xludf.DUMMYFUNCTION("IF(ISBLANK(D662),""NA"", VLOOKUP(D662,IMPORTRANGE(""https://docs.google.com/spreadsheets/d/1EdCvim__xyxvoo9WoburDTzYylznTCOJBHcnu7eurMw/edit?gid=15948134#gid=15948134"", ""Input!A1:B2000""),2,FALSE()))"),"code data (methods and name)")</f>
        <v>code data (methods and name)</v>
      </c>
    </row>
    <row r="663" hidden="1">
      <c r="A663" s="23" t="s">
        <v>2091</v>
      </c>
      <c r="B663" s="1">
        <v>6.0</v>
      </c>
      <c r="C663" s="8" t="s">
        <v>2131</v>
      </c>
      <c r="D663" s="1" t="s">
        <v>2132</v>
      </c>
      <c r="E663" s="14" t="s">
        <v>2133</v>
      </c>
      <c r="F663" s="14" t="s">
        <v>1027</v>
      </c>
      <c r="G663" s="8" t="s">
        <v>39</v>
      </c>
      <c r="H663" s="15" t="s">
        <v>2096</v>
      </c>
      <c r="J663" s="8" t="str">
        <f>IFERROR(__xludf.DUMMYFUNCTION("IF(ISBLANK(F663),""NA"", VLOOKUP(F663,IMPORTRANGE(""https://docs.google.com/spreadsheets/d/1EdCvim__xyxvoo9WoburDTzYylznTCOJBHcnu7eurMw/edit?gid=15948134#gid=15948134"", ""Purpose!A1:B1000""),2,FALSE()))"),"to evaluate the model")</f>
        <v>to evaluate the model</v>
      </c>
      <c r="K663" s="8" t="str">
        <f>IFERROR(__xludf.DUMMYFUNCTION("IF(ISBLANK(E663),""NA"", VLOOKUP(E663,IMPORTRANGE(""https://docs.google.com/spreadsheets/d/1EdCvim__xyxvoo9WoburDTzYylznTCOJBHcnu7eurMw/edit?gid=15948134#gid=15948134"", ""Technique!A1:B2000""),2,FALSE()))"),"compute metrics (i.e., Inconsistency avoidance, First-token accuracy, Full-name accuracy)")</f>
        <v>compute metrics (i.e., Inconsistency avoidance, First-token accuracy, Full-name accuracy)</v>
      </c>
      <c r="L663" s="8" t="str">
        <f>IFERROR(__xludf.DUMMYFUNCTION("IF(ISBLANK(D663),""NA"", VLOOKUP(D663,IMPORTRANGE(""https://docs.google.com/spreadsheets/d/1EdCvim__xyxvoo9WoburDTzYylznTCOJBHcnu7eurMw/edit?gid=15948134#gid=15948134"", ""Input!A1:B2000""),2,FALSE()))"),"model(s)' output, methods names")</f>
        <v>model(s)' output, methods names</v>
      </c>
    </row>
    <row r="664" hidden="1">
      <c r="A664" s="23" t="s">
        <v>2091</v>
      </c>
      <c r="B664" s="1">
        <v>21.0</v>
      </c>
      <c r="C664" s="1" t="s">
        <v>2134</v>
      </c>
      <c r="D664" s="1" t="s">
        <v>412</v>
      </c>
      <c r="E664" s="14" t="s">
        <v>2135</v>
      </c>
      <c r="F664" s="14" t="s">
        <v>2136</v>
      </c>
      <c r="G664" s="1" t="s">
        <v>39</v>
      </c>
      <c r="H664" s="15" t="s">
        <v>2096</v>
      </c>
      <c r="J664" s="8" t="str">
        <f>IFERROR(__xludf.DUMMYFUNCTION("IF(ISBLANK(F664),""NA"", VLOOKUP(F664,IMPORTRANGE(""https://docs.google.com/spreadsheets/d/1EdCvim__xyxvoo9WoburDTzYylznTCOJBHcnu7eurMw/edit?gid=15948134#gid=15948134"", ""Purpose!A1:B1000""),2,FALSE()))"),"to evaluate model(s) functionally (e.g., accuracy)")</f>
        <v>to evaluate model(s) functionally (e.g., accuracy)</v>
      </c>
      <c r="K664" s="8" t="str">
        <f>IFERROR(__xludf.DUMMYFUNCTION("IF(ISBLANK(E664),""NA"", VLOOKUP(E664,IMPORTRANGE(""https://docs.google.com/spreadsheets/d/1EdCvim__xyxvoo9WoburDTzYylznTCOJBHcnu7eurMw/edit?gid=15948134#gid=15948134"", ""Technique!A1:B2000""),2,FALSE()))"),"compute classical metrics (i.e., Precision, Recall. F-meassure)")</f>
        <v>compute classical metrics (i.e., Precision, Recall. F-meassure)</v>
      </c>
      <c r="L664" s="8" t="str">
        <f>IFERROR(__xludf.DUMMYFUNCTION("IF(ISBLANK(D664),""NA"", VLOOKUP(D664,IMPORTRANGE(""https://docs.google.com/spreadsheets/d/1EdCvim__xyxvoo9WoburDTzYylznTCOJBHcnu7eurMw/edit?gid=15948134#gid=15948134"", ""Input!A1:B2000""),2,FALSE()))"),"data + model(s)")</f>
        <v>data + model(s)</v>
      </c>
    </row>
    <row r="665" hidden="1">
      <c r="A665" s="23" t="s">
        <v>2091</v>
      </c>
      <c r="B665" s="1" t="s">
        <v>2137</v>
      </c>
      <c r="C665" s="1" t="s">
        <v>2138</v>
      </c>
      <c r="E665" s="14" t="s">
        <v>2139</v>
      </c>
      <c r="F665" s="14" t="s">
        <v>2140</v>
      </c>
      <c r="G665" s="1" t="s">
        <v>39</v>
      </c>
      <c r="H665" s="15" t="s">
        <v>2096</v>
      </c>
      <c r="J665" s="8" t="str">
        <f>IFERROR(__xludf.DUMMYFUNCTION("IF(ISBLANK(F665),""NA"", VLOOKUP(F665,IMPORTRANGE(""https://docs.google.com/spreadsheets/d/1EdCvim__xyxvoo9WoburDTzYylznTCOJBHcnu7eurMw/edit?gid=15948134#gid=15948134"", ""Purpose!A1:B1000""),2,FALSE()))"),"to evaluate model(s) functionally (e.g., accuracy) against others")</f>
        <v>to evaluate model(s) functionally (e.g., accuracy) against others</v>
      </c>
      <c r="K665" s="8" t="str">
        <f>IFERROR(__xludf.DUMMYFUNCTION("IF(ISBLANK(E665),""NA"", VLOOKUP(E665,IMPORTRANGE(""https://docs.google.com/spreadsheets/d/1EdCvim__xyxvoo9WoburDTzYylznTCOJBHcnu7eurMw/edit?gid=15948134#gid=15948134"", ""Technique!A1:B2000""),2,FALSE()))"),"compare with baseline model(s), state-of-the-art baselines, deep learning (CAN), shallow learning (n-gram)")</f>
        <v>compare with baseline model(s), state-of-the-art baselines, deep learning (CAN), shallow learning (n-gram)</v>
      </c>
      <c r="L665" s="8" t="str">
        <f>IFERROR(__xludf.DUMMYFUNCTION("IF(ISBLANK(D665),""NA"", VLOOKUP(D665,IMPORTRANGE(""https://docs.google.com/spreadsheets/d/1EdCvim__xyxvoo9WoburDTzYylznTCOJBHcnu7eurMw/edit?gid=15948134#gid=15948134"", ""Input!A1:B2000""),2,FALSE()))"),"NA")</f>
        <v>NA</v>
      </c>
    </row>
    <row r="666" hidden="1">
      <c r="A666" s="23" t="s">
        <v>2091</v>
      </c>
      <c r="B666" s="1">
        <v>18.0</v>
      </c>
      <c r="C666" s="1" t="s">
        <v>2116</v>
      </c>
      <c r="D666" s="1" t="s">
        <v>2141</v>
      </c>
      <c r="E666" s="16" t="s">
        <v>2142</v>
      </c>
      <c r="F666" s="14" t="s">
        <v>2143</v>
      </c>
      <c r="G666" s="1" t="s">
        <v>20</v>
      </c>
      <c r="H666" s="15" t="s">
        <v>2096</v>
      </c>
      <c r="J666" s="8" t="str">
        <f>IFERROR(__xludf.DUMMYFUNCTION("IF(ISBLANK(F666),""NA"", VLOOKUP(F666,IMPORTRANGE(""https://docs.google.com/spreadsheets/d/1EdCvim__xyxvoo9WoburDTzYylznTCOJBHcnu7eurMw/edit?gid=15948134#gid=15948134"", ""Purpose!A1:B1000""),2,FALSE()))"),"to avoid blowup the code-token size + to avoid performance degradation")</f>
        <v>to avoid blowup the code-token size + to avoid performance degradation</v>
      </c>
      <c r="K666" s="8" t="str">
        <f>IFERROR(__xludf.DUMMYFUNCTION("IF(ISBLANK(E666),""NA"", VLOOKUP(E666,IMPORTRANGE(""https://docs.google.com/spreadsheets/d/1EdCvim__xyxvoo9WoburDTzYylznTCOJBHcnu7eurMw/edit?gid=15948134#gid=15948134"", ""Technique!A1:B2000""),2,FALSE()))"),"filter methods based on size (i.e., keep methods that are most the maximum in a box plot)")</f>
        <v>filter methods based on size (i.e., keep methods that are most the maximum in a box plot)</v>
      </c>
      <c r="L666" s="8" t="str">
        <f>IFERROR(__xludf.DUMMYFUNCTION("IF(ISBLANK(D666),""NA"", VLOOKUP(D666,IMPORTRANGE(""https://docs.google.com/spreadsheets/d/1EdCvim__xyxvoo9WoburDTzYylznTCOJBHcnu7eurMw/edit?gid=15948134#gid=15948134"", ""Input!A1:B2000""),2,FALSE()))"),"data (training set), code data (methods and name)")</f>
        <v>data (training set), code data (methods and name)</v>
      </c>
    </row>
    <row r="667" hidden="1">
      <c r="A667" s="23" t="s">
        <v>2091</v>
      </c>
      <c r="B667" s="1">
        <v>20.0</v>
      </c>
      <c r="C667" s="1" t="s">
        <v>2144</v>
      </c>
      <c r="E667" s="16" t="s">
        <v>2145</v>
      </c>
      <c r="F667" s="14" t="s">
        <v>2146</v>
      </c>
      <c r="G667" s="1" t="s">
        <v>54</v>
      </c>
      <c r="H667" s="15" t="s">
        <v>2096</v>
      </c>
      <c r="J667" s="8" t="str">
        <f>IFERROR(__xludf.DUMMYFUNCTION("IF(ISBLANK(F667),""NA"", VLOOKUP(F667,IMPORTRANGE(""https://docs.google.com/spreadsheets/d/1EdCvim__xyxvoo9WoburDTzYylznTCOJBHcnu7eurMw/edit?gid=15948134#gid=15948134"", ""Purpose!A1:B1000""),2,FALSE()))"),"to find the best hyperparameters in general")</f>
        <v>to find the best hyperparameters in general</v>
      </c>
      <c r="K667" s="8" t="str">
        <f>IFERROR(__xludf.DUMMYFUNCTION("IF(ISBLANK(E667),""NA"", VLOOKUP(E667,IMPORTRANGE(""https://docs.google.com/spreadsheets/d/1EdCvim__xyxvoo9WoburDTzYylznTCOJBHcnu7eurMw/edit?gid=15948134#gid=15948134"", ""Technique!A1:B2000""),2,FALSE()))"),"select final hyperparameters based on state-of-the-art")</f>
        <v>select final hyperparameters based on state-of-the-art</v>
      </c>
      <c r="L667" s="8" t="str">
        <f>IFERROR(__xludf.DUMMYFUNCTION("IF(ISBLANK(D667),""NA"", VLOOKUP(D667,IMPORTRANGE(""https://docs.google.com/spreadsheets/d/1EdCvim__xyxvoo9WoburDTzYylznTCOJBHcnu7eurMw/edit?gid=15948134#gid=15948134"", ""Input!A1:B2000""),2,FALSE()))"),"NA")</f>
        <v>NA</v>
      </c>
    </row>
    <row r="668" hidden="1">
      <c r="A668" s="1" t="s">
        <v>2147</v>
      </c>
      <c r="B668" s="1">
        <v>7.0</v>
      </c>
      <c r="C668" s="8" t="s">
        <v>2148</v>
      </c>
      <c r="D668" s="8" t="s">
        <v>2149</v>
      </c>
      <c r="E668" s="12" t="s">
        <v>2150</v>
      </c>
      <c r="F668" s="9" t="s">
        <v>2151</v>
      </c>
      <c r="G668" s="1" t="s">
        <v>54</v>
      </c>
      <c r="H668" s="10" t="s">
        <v>2152</v>
      </c>
      <c r="J668" s="8" t="str">
        <f>IFERROR(__xludf.DUMMYFUNCTION("IF(ISBLANK(F668),""NA"", VLOOKUP(F668,IMPORTRANGE(""https://docs.google.com/spreadsheets/d/1EdCvim__xyxvoo9WoburDTzYylznTCOJBHcnu7eurMw/edit?gid=15948134#gid=15948134"", ""Purpose!A1:B1000""),2,FALSE()))"),"to train a model for classification tasks (i.e., identify unintended incidents)")</f>
        <v>to train a model for classification tasks (i.e., identify unintended incidents)</v>
      </c>
      <c r="K668" s="8" t="str">
        <f>IFERROR(__xludf.DUMMYFUNCTION("IF(ISBLANK(E668),""NA"", VLOOKUP(E668,IMPORTRANGE(""https://docs.google.com/spreadsheets/d/1EdCvim__xyxvoo9WoburDTzYylznTCOJBHcnu7eurMw/edit?gid=15948134#gid=15948134"", ""Technique!A1:B2000""),2,FALSE()))"),"use convolutional neural networks  with attention heads")</f>
        <v>use convolutional neural networks  with attention heads</v>
      </c>
      <c r="L668" s="8" t="str">
        <f>IFERROR(__xludf.DUMMYFUNCTION("IF(ISBLANK(D668),""NA"", VLOOKUP(D668,IMPORTRANGE(""https://docs.google.com/spreadsheets/d/1EdCvim__xyxvoo9WoburDTzYylznTCOJBHcnu7eurMw/edit?gid=15948134#gid=15948134"", ""Input!A1:B2000""),2,FALSE()))"),"textual data (incident)")</f>
        <v>textual data (incident)</v>
      </c>
    </row>
    <row r="669" hidden="1">
      <c r="A669" s="1" t="s">
        <v>2147</v>
      </c>
      <c r="B669" s="1">
        <v>8.0</v>
      </c>
      <c r="C669" s="8" t="s">
        <v>2153</v>
      </c>
      <c r="D669" s="8" t="s">
        <v>2154</v>
      </c>
      <c r="E669" s="9" t="s">
        <v>2155</v>
      </c>
      <c r="F669" s="9" t="s">
        <v>2156</v>
      </c>
      <c r="G669" s="8" t="s">
        <v>14</v>
      </c>
      <c r="H669" s="10" t="s">
        <v>2152</v>
      </c>
      <c r="J669" s="8" t="str">
        <f>IFERROR(__xludf.DUMMYFUNCTION("IF(ISBLANK(F669),""NA"", VLOOKUP(F669,IMPORTRANGE(""https://docs.google.com/spreadsheets/d/1EdCvim__xyxvoo9WoburDTzYylznTCOJBHcnu7eurMw/edit?gid=15948134#gid=15948134"", ""Purpose!A1:B1000""),2,FALSE()))"),"to embed discrete values fixed-dimension vector")</f>
        <v>to embed discrete values fixed-dimension vector</v>
      </c>
      <c r="K669" s="8" t="str">
        <f>IFERROR(__xludf.DUMMYFUNCTION("IF(ISBLANK(E669),""NA"", VLOOKUP(E669,IMPORTRANGE(""https://docs.google.com/spreadsheets/d/1EdCvim__xyxvoo9WoburDTzYylznTCOJBHcnu7eurMw/edit?gid=15948134#gid=15948134"", ""Technique!A1:B2000""),2,FALSE()))"),"use embeddings, representation learning")</f>
        <v>use embeddings, representation learning</v>
      </c>
      <c r="L669" s="8" t="str">
        <f>IFERROR(__xludf.DUMMYFUNCTION("IF(ISBLANK(D669),""NA"", VLOOKUP(D669,IMPORTRANGE(""https://docs.google.com/spreadsheets/d/1EdCvim__xyxvoo9WoburDTzYylznTCOJBHcnu7eurMw/edit?gid=15948134#gid=15948134"", ""Input!A1:B2000""),2,FALSE()))"),"numeric data (discrete incident data)")</f>
        <v>numeric data (discrete incident data)</v>
      </c>
    </row>
    <row r="670" hidden="1">
      <c r="A670" s="1" t="s">
        <v>2147</v>
      </c>
      <c r="B670" s="1">
        <v>9.0</v>
      </c>
      <c r="C670" s="8" t="s">
        <v>2157</v>
      </c>
      <c r="D670" s="8" t="s">
        <v>2158</v>
      </c>
      <c r="E670" s="12" t="s">
        <v>2159</v>
      </c>
      <c r="F670" s="9" t="s">
        <v>2160</v>
      </c>
      <c r="G670" s="8" t="s">
        <v>20</v>
      </c>
      <c r="H670" s="10" t="s">
        <v>2152</v>
      </c>
      <c r="J670" s="8" t="str">
        <f>IFERROR(__xludf.DUMMYFUNCTION("IF(ISBLANK(F670),""NA"", VLOOKUP(F670,IMPORTRANGE(""https://docs.google.com/spreadsheets/d/1EdCvim__xyxvoo9WoburDTzYylznTCOJBHcnu7eurMw/edit?gid=15948134#gid=15948134"", ""Purpose!A1:B1000""),2,FALSE()))"),"to pre-process textual data")</f>
        <v>to pre-process textual data</v>
      </c>
      <c r="K670" s="8" t="str">
        <f>IFERROR(__xludf.DUMMYFUNCTION("IF(ISBLANK(E670),""NA"", VLOOKUP(E670,IMPORTRANGE(""https://docs.google.com/spreadsheets/d/1EdCvim__xyxvoo9WoburDTzYylznTCOJBHcnu7eurMw/edit?gid=15948134#gid=15948134"", ""Technique!A1:B2000""),2,FALSE()))"),"remove stop words + tokenize")</f>
        <v>remove stop words + tokenize</v>
      </c>
      <c r="L670" s="8" t="str">
        <f>IFERROR(__xludf.DUMMYFUNCTION("IF(ISBLANK(D670),""NA"", VLOOKUP(D670,IMPORTRANGE(""https://docs.google.com/spreadsheets/d/1EdCvim__xyxvoo9WoburDTzYylznTCOJBHcnu7eurMw/edit?gid=15948134#gid=15948134"", ""Input!A1:B2000""),2,FALSE()))"),"textual data (incident)")</f>
        <v>textual data (incident)</v>
      </c>
    </row>
    <row r="671" hidden="1">
      <c r="A671" s="1" t="s">
        <v>2147</v>
      </c>
      <c r="B671" s="1">
        <v>10.0</v>
      </c>
      <c r="C671" s="8" t="s">
        <v>2157</v>
      </c>
      <c r="D671" s="8" t="s">
        <v>2161</v>
      </c>
      <c r="E671" s="9" t="s">
        <v>2162</v>
      </c>
      <c r="F671" s="9" t="s">
        <v>2163</v>
      </c>
      <c r="G671" s="8" t="s">
        <v>14</v>
      </c>
      <c r="H671" s="10" t="s">
        <v>2152</v>
      </c>
      <c r="J671" s="8" t="str">
        <f>IFERROR(__xludf.DUMMYFUNCTION("IF(ISBLANK(F671),""NA"", VLOOKUP(F671,IMPORTRANGE(""https://docs.google.com/spreadsheets/d/1EdCvim__xyxvoo9WoburDTzYylznTCOJBHcnu7eurMw/edit?gid=15948134#gid=15948134"", ""Purpose!A1:B1000""),2,FALSE()))"),"to encode textual data into a matrix representation")</f>
        <v>to encode textual data into a matrix representation</v>
      </c>
      <c r="K671" s="8" t="str">
        <f>IFERROR(__xludf.DUMMYFUNCTION("IF(ISBLANK(E671),""NA"", VLOOKUP(E671,IMPORTRANGE(""https://docs.google.com/spreadsheets/d/1EdCvim__xyxvoo9WoburDTzYylznTCOJBHcnu7eurMw/edit?gid=15948134#gid=15948134"", ""Technique!A1:B2000""),2,FALSE()))"),"use embeddings, Fastext")</f>
        <v>use embeddings, Fastext</v>
      </c>
      <c r="L671" s="8" t="str">
        <f>IFERROR(__xludf.DUMMYFUNCTION("IF(ISBLANK(D671),""NA"", VLOOKUP(D671,IMPORTRANGE(""https://docs.google.com/spreadsheets/d/1EdCvim__xyxvoo9WoburDTzYylznTCOJBHcnu7eurMw/edit?gid=15948134#gid=15948134"", ""Input!A1:B2000""),2,FALSE()))"),"textual data (incident), pre-processed")</f>
        <v>textual data (incident), pre-processed</v>
      </c>
    </row>
    <row r="672" hidden="1">
      <c r="A672" s="1" t="s">
        <v>2147</v>
      </c>
      <c r="B672" s="1">
        <v>11.0</v>
      </c>
      <c r="C672" s="8" t="s">
        <v>2157</v>
      </c>
      <c r="D672" s="8" t="s">
        <v>2164</v>
      </c>
      <c r="E672" s="14" t="s">
        <v>2165</v>
      </c>
      <c r="F672" s="9" t="s">
        <v>2166</v>
      </c>
      <c r="G672" s="8" t="s">
        <v>14</v>
      </c>
      <c r="H672" s="10" t="s">
        <v>2152</v>
      </c>
      <c r="J672" s="8" t="str">
        <f>IFERROR(__xludf.DUMMYFUNCTION("IF(ISBLANK(F672),""NA"", VLOOKUP(F672,IMPORTRANGE(""https://docs.google.com/spreadsheets/d/1EdCvim__xyxvoo9WoburDTzYylznTCOJBHcnu7eurMw/edit?gid=15948134#gid=15948134"", ""Purpose!A1:B1000""),2,FALSE()))"),"to encode a matrix into a vector representation")</f>
        <v>to encode a matrix into a vector representation</v>
      </c>
      <c r="K672" s="8" t="str">
        <f>IFERROR(__xludf.DUMMYFUNCTION("IF(ISBLANK(E672),""NA"", VLOOKUP(E672,IMPORTRANGE(""https://docs.google.com/spreadsheets/d/1EdCvim__xyxvoo9WoburDTzYylznTCOJBHcnu7eurMw/edit?gid=15948134#gid=15948134"", ""Technique!A1:B2000""),2,FALSE()))"),"use convolutional neural networks for NL")</f>
        <v>use convolutional neural networks for NL</v>
      </c>
      <c r="L672" s="8" t="str">
        <f>IFERROR(__xludf.DUMMYFUNCTION("IF(ISBLANK(D672),""NA"", VLOOKUP(D672,IMPORTRANGE(""https://docs.google.com/spreadsheets/d/1EdCvim__xyxvoo9WoburDTzYylznTCOJBHcnu7eurMw/edit?gid=15948134#gid=15948134"", ""Input!A1:B2000""),2,FALSE()))"),"matrix representation (textual data, incidents)")</f>
        <v>matrix representation (textual data, incidents)</v>
      </c>
    </row>
    <row r="673" hidden="1">
      <c r="A673" s="1" t="s">
        <v>2147</v>
      </c>
      <c r="B673" s="1">
        <v>12.0</v>
      </c>
      <c r="C673" s="8" t="s">
        <v>2157</v>
      </c>
      <c r="D673" s="8" t="s">
        <v>2167</v>
      </c>
      <c r="E673" s="9" t="s">
        <v>2168</v>
      </c>
      <c r="F673" s="9" t="s">
        <v>2169</v>
      </c>
      <c r="G673" s="8" t="s">
        <v>14</v>
      </c>
      <c r="H673" s="10" t="s">
        <v>2152</v>
      </c>
      <c r="J673" s="8" t="str">
        <f>IFERROR(__xludf.DUMMYFUNCTION("IF(ISBLANK(F673),""NA"", VLOOKUP(F673,IMPORTRANGE(""https://docs.google.com/spreadsheets/d/1EdCvim__xyxvoo9WoburDTzYylznTCOJBHcnu7eurMw/edit?gid=15948134#gid=15948134"", ""Purpose!A1:B1000""),2,FALSE()))"),"to learn weights of relevant incidents")</f>
        <v>to learn weights of relevant incidents</v>
      </c>
      <c r="K673" s="8" t="str">
        <f>IFERROR(__xludf.DUMMYFUNCTION("IF(ISBLANK(E673),""NA"", VLOOKUP(E673,IMPORTRANGE(""https://docs.google.com/spreadsheets/d/1EdCvim__xyxvoo9WoburDTzYylznTCOJBHcnu7eurMw/edit?gid=15948134#gid=15948134"", ""Technique!A1:B2000""),2,FALSE()))"),"report model fine details (e.g., use attention mechanisms)")</f>
        <v>report model fine details (e.g., use attention mechanisms)</v>
      </c>
      <c r="L673" s="8" t="str">
        <f>IFERROR(__xludf.DUMMYFUNCTION("IF(ISBLANK(D673),""NA"", VLOOKUP(D673,IMPORTRANGE(""https://docs.google.com/spreadsheets/d/1EdCvim__xyxvoo9WoburDTzYylznTCOJBHcnu7eurMw/edit?gid=15948134#gid=15948134"", ""Input!A1:B2000""),2,FALSE()))"),"vector representation (textual data, incident)")</f>
        <v>vector representation (textual data, incident)</v>
      </c>
    </row>
    <row r="674" hidden="1">
      <c r="A674" s="1" t="s">
        <v>2147</v>
      </c>
      <c r="B674" s="1">
        <v>13.0</v>
      </c>
      <c r="C674" s="8" t="s">
        <v>2170</v>
      </c>
      <c r="D674" s="1" t="s">
        <v>205</v>
      </c>
      <c r="E674" s="16" t="s">
        <v>2171</v>
      </c>
      <c r="F674" s="14" t="s">
        <v>2172</v>
      </c>
      <c r="G674" s="1" t="s">
        <v>20</v>
      </c>
      <c r="H674" s="10" t="s">
        <v>2152</v>
      </c>
      <c r="J674" s="8" t="str">
        <f>IFERROR(__xludf.DUMMYFUNCTION("IF(ISBLANK(F674),""NA"", VLOOKUP(F674,IMPORTRANGE(""https://docs.google.com/spreadsheets/d/1EdCvim__xyxvoo9WoburDTzYylznTCOJBHcnu7eurMw/edit?gid=15948134#gid=15948134"", ""Purpose!A1:B1000""),2,FALSE()))"),"to split the data into different sets, when working with time sensitive data")</f>
        <v>to split the data into different sets, when working with time sensitive data</v>
      </c>
      <c r="K674" s="8" t="str">
        <f>IFERROR(__xludf.DUMMYFUNCTION("IF(ISBLANK(E674),""NA"", VLOOKUP(E674,IMPORTRANGE(""https://docs.google.com/spreadsheets/d/1EdCvim__xyxvoo9WoburDTzYylznTCOJBHcnu7eurMw/edit?gid=15948134#gid=15948134"", ""Technique!A1:B2000""),2,FALSE()))"),"split data into train and test, considering temporal constraints")</f>
        <v>split data into train and test, considering temporal constraints</v>
      </c>
      <c r="L674" s="8" t="str">
        <f>IFERROR(__xludf.DUMMYFUNCTION("IF(ISBLANK(D674),""NA"", VLOOKUP(D674,IMPORTRANGE(""https://docs.google.com/spreadsheets/d/1EdCvim__xyxvoo9WoburDTzYylznTCOJBHcnu7eurMw/edit?gid=15948134#gid=15948134"", ""Input!A1:B2000""),2,FALSE()))"),"data")</f>
        <v>data</v>
      </c>
    </row>
    <row r="675" hidden="1">
      <c r="A675" s="1" t="s">
        <v>2147</v>
      </c>
      <c r="B675" s="1">
        <v>14.0</v>
      </c>
      <c r="C675" s="8" t="s">
        <v>2173</v>
      </c>
      <c r="D675" s="1" t="s">
        <v>503</v>
      </c>
      <c r="E675" s="12" t="s">
        <v>2174</v>
      </c>
      <c r="F675" s="9" t="s">
        <v>2175</v>
      </c>
      <c r="G675" s="1" t="s">
        <v>54</v>
      </c>
      <c r="H675" s="10" t="s">
        <v>2152</v>
      </c>
      <c r="J675" s="8" t="str">
        <f>IFERROR(__xludf.DUMMYFUNCTION("IF(ISBLANK(F675),""NA"", VLOOKUP(F675,IMPORTRANGE(""https://docs.google.com/spreadsheets/d/1EdCvim__xyxvoo9WoburDTzYylznTCOJBHcnu7eurMw/edit?gid=15948134#gid=15948134"", ""Purpose!A1:B1000""),2,FALSE()))"),"to find the best hyperparameters in general")</f>
        <v>to find the best hyperparameters in general</v>
      </c>
      <c r="K675" s="8" t="str">
        <f>IFERROR(__xludf.DUMMYFUNCTION("IF(ISBLANK(E675),""NA"", VLOOKUP(E675,IMPORTRANGE(""https://docs.google.com/spreadsheets/d/1EdCvim__xyxvoo9WoburDTzYylznTCOJBHcnu7eurMw/edit?gid=15948134#gid=15948134"", ""Technique!A1:B2000""),2,FALSE()))"),"grid search")</f>
        <v>grid search</v>
      </c>
      <c r="L675" s="8" t="str">
        <f>IFERROR(__xludf.DUMMYFUNCTION("IF(ISBLANK(D675),""NA"", VLOOKUP(D675,IMPORTRANGE(""https://docs.google.com/spreadsheets/d/1EdCvim__xyxvoo9WoburDTzYylznTCOJBHcnu7eurMw/edit?gid=15948134#gid=15948134"", ""Input!A1:B2000""),2,FALSE()))"),"model(s)")</f>
        <v>model(s)</v>
      </c>
    </row>
    <row r="676" hidden="1">
      <c r="A676" s="1" t="s">
        <v>2147</v>
      </c>
      <c r="B676" s="1">
        <v>15.0</v>
      </c>
      <c r="C676" s="8" t="s">
        <v>2173</v>
      </c>
      <c r="E676" s="9" t="s">
        <v>923</v>
      </c>
      <c r="F676" s="9" t="s">
        <v>585</v>
      </c>
      <c r="G676" s="1" t="s">
        <v>924</v>
      </c>
      <c r="H676" s="10" t="s">
        <v>2152</v>
      </c>
      <c r="J676" s="8" t="str">
        <f>IFERROR(__xludf.DUMMYFUNCTION("IF(ISBLANK(F676),""NA"", VLOOKUP(F676,IMPORTRANGE(""https://docs.google.com/spreadsheets/d/1EdCvim__xyxvoo9WoburDTzYylznTCOJBHcnu7eurMw/edit?gid=15948134#gid=15948134"", ""Purpose!A1:B1000""),2,FALSE()))"),"to be able to replicate/reproduce a study, research")</f>
        <v>to be able to replicate/reproduce a study, research</v>
      </c>
      <c r="K676" s="8" t="str">
        <f>IFERROR(__xludf.DUMMYFUNCTION("IF(ISBLANK(E676),""NA"", VLOOKUP(E676,IMPORTRANGE(""https://docs.google.com/spreadsheets/d/1EdCvim__xyxvoo9WoburDTzYylznTCOJBHcnu7eurMw/edit?gid=15948134#gid=15948134"", ""Technique!A1:B2000""),2,FALSE()))"),"publish replication package")</f>
        <v>publish replication package</v>
      </c>
      <c r="L676" s="8" t="str">
        <f>IFERROR(__xludf.DUMMYFUNCTION("IF(ISBLANK(D676),""NA"", VLOOKUP(D676,IMPORTRANGE(""https://docs.google.com/spreadsheets/d/1EdCvim__xyxvoo9WoburDTzYylznTCOJBHcnu7eurMw/edit?gid=15948134#gid=15948134"", ""Input!A1:B2000""),2,FALSE()))"),"NA")</f>
        <v>NA</v>
      </c>
    </row>
    <row r="677" hidden="1">
      <c r="A677" s="1" t="s">
        <v>2147</v>
      </c>
      <c r="B677" s="1" t="s">
        <v>2176</v>
      </c>
      <c r="C677" s="8" t="s">
        <v>2173</v>
      </c>
      <c r="D677" s="1" t="s">
        <v>2177</v>
      </c>
      <c r="E677" s="9" t="s">
        <v>2178</v>
      </c>
      <c r="F677" s="9" t="s">
        <v>2179</v>
      </c>
      <c r="G677" s="8" t="s">
        <v>39</v>
      </c>
      <c r="H677" s="10" t="s">
        <v>2152</v>
      </c>
      <c r="J677" s="8" t="str">
        <f>IFERROR(__xludf.DUMMYFUNCTION("IF(ISBLANK(F677),""NA"", VLOOKUP(F677,IMPORTRANGE(""https://docs.google.com/spreadsheets/d/1EdCvim__xyxvoo9WoburDTzYylznTCOJBHcnu7eurMw/edit?gid=15948134#gid=15948134"", ""Purpose!A1:B1000""),2,FALSE()))"),"to evaluate model(s) functionally (e.g., accuracy)")</f>
        <v>to evaluate model(s) functionally (e.g., accuracy)</v>
      </c>
      <c r="K677" s="8" t="str">
        <f>IFERROR(__xludf.DUMMYFUNCTION("IF(ISBLANK(E677),""NA"", VLOOKUP(E677,IMPORTRANGE(""https://docs.google.com/spreadsheets/d/1EdCvim__xyxvoo9WoburDTzYylznTCOJBHcnu7eurMw/edit?gid=15948134#gid=15948134"", ""Technique!A1:B2000""),2,FALSE()))"),"compute classical metrics (i.e., Precision, Recall, AUROC) + compute execution time")</f>
        <v>compute classical metrics (i.e., Precision, Recall, AUROC) + compute execution time</v>
      </c>
      <c r="L677" s="8" t="str">
        <f>IFERROR(__xludf.DUMMYFUNCTION("IF(ISBLANK(D677),""NA"", VLOOKUP(D677,IMPORTRANGE(""https://docs.google.com/spreadsheets/d/1EdCvim__xyxvoo9WoburDTzYylznTCOJBHcnu7eurMw/edit?gid=15948134#gid=15948134"", ""Input!A1:B2000""),2,FALSE()))"),"data + model(s)")</f>
        <v>data + model(s)</v>
      </c>
    </row>
    <row r="678" hidden="1">
      <c r="A678" s="1" t="s">
        <v>2147</v>
      </c>
      <c r="B678" s="1" t="s">
        <v>2180</v>
      </c>
      <c r="C678" s="8" t="s">
        <v>2181</v>
      </c>
      <c r="D678" s="8" t="s">
        <v>2182</v>
      </c>
      <c r="E678" s="9" t="s">
        <v>2183</v>
      </c>
      <c r="F678" s="9" t="s">
        <v>2184</v>
      </c>
      <c r="G678" s="8" t="s">
        <v>39</v>
      </c>
      <c r="H678" s="10" t="s">
        <v>2152</v>
      </c>
      <c r="J678" s="8" t="str">
        <f>IFERROR(__xludf.DUMMYFUNCTION("IF(ISBLANK(F678),""NA"", VLOOKUP(F678,IMPORTRANGE(""https://docs.google.com/spreadsheets/d/1EdCvim__xyxvoo9WoburDTzYylznTCOJBHcnu7eurMw/edit?gid=15948134#gid=15948134"", ""Purpose!A1:B1000""),2,FALSE()))"),"to evaluate model(s) functionally (e.g., accuracy) against others")</f>
        <v>to evaluate model(s) functionally (e.g., accuracy) against others</v>
      </c>
      <c r="K678" s="8" t="str">
        <f>IFERROR(__xludf.DUMMYFUNCTION("IF(ISBLANK(E678),""NA"", VLOOKUP(E678,IMPORTRANGE(""https://docs.google.com/spreadsheets/d/1EdCvim__xyxvoo9WoburDTzYylznTCOJBHcnu7eurMw/edit?gid=15948134#gid=15948134"", ""Technique!A1:B2000""),2,FALSE()))"),"statistical test (Wilcoxon signed-rank test)")</f>
        <v>statistical test (Wilcoxon signed-rank test)</v>
      </c>
      <c r="L678" s="8" t="str">
        <f>IFERROR(__xludf.DUMMYFUNCTION("IF(ISBLANK(D678),""NA"", VLOOKUP(D678,IMPORTRANGE(""https://docs.google.com/spreadsheets/d/1EdCvim__xyxvoo9WoburDTzYylznTCOJBHcnu7eurMw/edit?gid=15948134#gid=15948134"", ""Input!A1:B2000""),2,FALSE()))"),"computed metrics of multiple models")</f>
        <v>computed metrics of multiple models</v>
      </c>
    </row>
    <row r="679" hidden="1">
      <c r="A679" s="1" t="s">
        <v>2147</v>
      </c>
      <c r="B679" s="1">
        <v>5.0</v>
      </c>
      <c r="C679" s="1" t="s">
        <v>2185</v>
      </c>
      <c r="E679" s="14" t="s">
        <v>2186</v>
      </c>
      <c r="F679" s="14" t="s">
        <v>2187</v>
      </c>
      <c r="G679" s="1" t="s">
        <v>39</v>
      </c>
      <c r="H679" s="15" t="s">
        <v>2188</v>
      </c>
      <c r="J679" s="8" t="str">
        <f>IFERROR(__xludf.DUMMYFUNCTION("IF(ISBLANK(F679),""NA"", VLOOKUP(F679,IMPORTRANGE(""https://docs.google.com/spreadsheets/d/1EdCvim__xyxvoo9WoburDTzYylznTCOJBHcnu7eurMw/edit?gid=15948134#gid=15948134"", ""Purpose!A1:B1000""),2,FALSE()))"),"to understand how differenttime windows affect the model results")</f>
        <v>to understand how differenttime windows affect the model results</v>
      </c>
      <c r="K679" s="8" t="str">
        <f>IFERROR(__xludf.DUMMYFUNCTION("IF(ISBLANK(E679),""NA"", VLOOKUP(E679,IMPORTRANGE(""https://docs.google.com/spreadsheets/d/1EdCvim__xyxvoo9WoburDTzYylznTCOJBHcnu7eurMw/edit?gid=15948134#gid=15948134"", ""Technique!A1:B2000""),2,FALSE()))"),"ablation study (change data time windows)")</f>
        <v>ablation study (change data time windows)</v>
      </c>
      <c r="L679" s="8" t="str">
        <f>IFERROR(__xludf.DUMMYFUNCTION("IF(ISBLANK(D679),""NA"", VLOOKUP(D679,IMPORTRANGE(""https://docs.google.com/spreadsheets/d/1EdCvim__xyxvoo9WoburDTzYylznTCOJBHcnu7eurMw/edit?gid=15948134#gid=15948134"", ""Input!A1:B2000""),2,FALSE()))"),"NA")</f>
        <v>NA</v>
      </c>
    </row>
    <row r="680" hidden="1">
      <c r="A680" s="1" t="s">
        <v>2147</v>
      </c>
      <c r="B680" s="1">
        <v>6.0</v>
      </c>
      <c r="C680" s="1" t="s">
        <v>2185</v>
      </c>
      <c r="D680" s="1" t="s">
        <v>2189</v>
      </c>
      <c r="E680" s="14" t="s">
        <v>2190</v>
      </c>
      <c r="F680" s="14" t="s">
        <v>2191</v>
      </c>
      <c r="G680" s="1" t="s">
        <v>39</v>
      </c>
      <c r="H680" s="15" t="s">
        <v>2188</v>
      </c>
      <c r="J680" s="8" t="str">
        <f>IFERROR(__xludf.DUMMYFUNCTION("IF(ISBLANK(F680),""NA"", VLOOKUP(F680,IMPORTRANGE(""https://docs.google.com/spreadsheets/d/1EdCvim__xyxvoo9WoburDTzYylznTCOJBHcnu7eurMw/edit?gid=15948134#gid=15948134"", ""Purpose!A1:B1000""),2,FALSE()))"),"to evaluate model(s) generalizability capability")</f>
        <v>to evaluate model(s) generalizability capability</v>
      </c>
      <c r="K680" s="8" t="str">
        <f>IFERROR(__xludf.DUMMYFUNCTION("IF(ISBLANK(E680),""NA"", VLOOKUP(E680,IMPORTRANGE(""https://docs.google.com/spreadsheets/d/1EdCvim__xyxvoo9WoburDTzYylznTCOJBHcnu7eurMw/edit?gid=15948134#gid=15948134"", ""Technique!A1:B2000""),2,FALSE()))"),"evaluate the model with unrelated data (i.e., project)")</f>
        <v>evaluate the model with unrelated data (i.e., project)</v>
      </c>
      <c r="L680" s="8" t="str">
        <f>IFERROR(__xludf.DUMMYFUNCTION("IF(ISBLANK(D680),""NA"", VLOOKUP(D680,IMPORTRANGE(""https://docs.google.com/spreadsheets/d/1EdCvim__xyxvoo9WoburDTzYylznTCOJBHcnu7eurMw/edit?gid=15948134#gid=15948134"", ""Input!A1:B2000""),2,FALSE()))"),"model(s)")</f>
        <v>model(s)</v>
      </c>
    </row>
    <row r="681" hidden="1">
      <c r="A681" s="1" t="s">
        <v>2147</v>
      </c>
      <c r="B681" s="1">
        <v>2.0</v>
      </c>
      <c r="C681" s="1" t="s">
        <v>2192</v>
      </c>
      <c r="D681" s="1" t="s">
        <v>503</v>
      </c>
      <c r="E681" s="14" t="s">
        <v>2193</v>
      </c>
      <c r="F681" s="14" t="s">
        <v>2194</v>
      </c>
      <c r="G681" s="1" t="s">
        <v>39</v>
      </c>
      <c r="H681" s="15" t="s">
        <v>2188</v>
      </c>
      <c r="J681" s="8" t="str">
        <f>IFERROR(__xludf.DUMMYFUNCTION("IF(ISBLANK(F681),""NA"", VLOOKUP(F681,IMPORTRANGE(""https://docs.google.com/spreadsheets/d/1EdCvim__xyxvoo9WoburDTzYylznTCOJBHcnu7eurMw/edit?gid=15948134#gid=15948134"", ""Purpose!A1:B1000""),2,FALSE()))"),"to evaluate model(s) non-functional attributes (i.e., execution time)")</f>
        <v>to evaluate model(s) non-functional attributes (i.e., execution time)</v>
      </c>
      <c r="K681" s="8" t="str">
        <f>IFERROR(__xludf.DUMMYFUNCTION("IF(ISBLANK(E681),""NA"", VLOOKUP(E681,IMPORTRANGE(""https://docs.google.com/spreadsheets/d/1EdCvim__xyxvoo9WoburDTzYylznTCOJBHcnu7eurMw/edit?gid=15948134#gid=15948134"", ""Technique!A1:B2000""),2,FALSE()))"),"compute execution time + compute training time")</f>
        <v>compute execution time + compute training time</v>
      </c>
      <c r="L681" s="8" t="str">
        <f>IFERROR(__xludf.DUMMYFUNCTION("IF(ISBLANK(D681),""NA"", VLOOKUP(D681,IMPORTRANGE(""https://docs.google.com/spreadsheets/d/1EdCvim__xyxvoo9WoburDTzYylznTCOJBHcnu7eurMw/edit?gid=15948134#gid=15948134"", ""Input!A1:B2000""),2,FALSE()))"),"model(s)")</f>
        <v>model(s)</v>
      </c>
    </row>
    <row r="682" hidden="1">
      <c r="A682" s="1" t="s">
        <v>2147</v>
      </c>
      <c r="B682" s="1">
        <v>1.0</v>
      </c>
      <c r="C682" s="1" t="s">
        <v>2195</v>
      </c>
      <c r="E682" s="14" t="s">
        <v>2196</v>
      </c>
      <c r="F682" s="14" t="s">
        <v>2197</v>
      </c>
      <c r="G682" s="1" t="s">
        <v>39</v>
      </c>
      <c r="H682" s="15" t="s">
        <v>2188</v>
      </c>
      <c r="J682" s="8" t="str">
        <f>IFERROR(__xludf.DUMMYFUNCTION("IF(ISBLANK(F682),""NA"", VLOOKUP(F682,IMPORTRANGE(""https://docs.google.com/spreadsheets/d/1EdCvim__xyxvoo9WoburDTzYylznTCOJBHcnu7eurMw/edit?gid=15948134#gid=15948134"", ""Purpose!A1:B1000""),2,FALSE()))"),"to evaluate model(s) functionally (e.g., accuracy) against others, when not directly comparable approaches available")</f>
        <v>to evaluate model(s) functionally (e.g., accuracy) against others, when not directly comparable approaches available</v>
      </c>
      <c r="K682" s="8" t="str">
        <f>IFERROR(__xludf.DUMMYFUNCTION("IF(ISBLANK(E682),""NA"", VLOOKUP(E682,IMPORTRANGE(""https://docs.google.com/spreadsheets/d/1EdCvim__xyxvoo9WoburDTzYylznTCOJBHcnu7eurMw/edit?gid=15948134#gid=15948134"", ""Technique!A1:B2000""),2,FALSE()))"),"compare multiple approaches, similar approaches")</f>
        <v>compare multiple approaches, similar approaches</v>
      </c>
      <c r="L682" s="8" t="str">
        <f>IFERROR(__xludf.DUMMYFUNCTION("IF(ISBLANK(D682),""NA"", VLOOKUP(D682,IMPORTRANGE(""https://docs.google.com/spreadsheets/d/1EdCvim__xyxvoo9WoburDTzYylznTCOJBHcnu7eurMw/edit?gid=15948134#gid=15948134"", ""Input!A1:B2000""),2,FALSE()))"),"NA")</f>
        <v>NA</v>
      </c>
    </row>
    <row r="683">
      <c r="A683" s="34"/>
      <c r="C683" s="1"/>
      <c r="E683" s="15"/>
      <c r="F683" s="1"/>
      <c r="G683" s="1"/>
      <c r="H683" s="15"/>
    </row>
    <row r="684">
      <c r="C684" s="1"/>
      <c r="E684" s="15"/>
      <c r="F684" s="1"/>
      <c r="G684" s="1"/>
      <c r="H684" s="15"/>
    </row>
    <row r="685">
      <c r="A685" s="23"/>
      <c r="B685" s="1"/>
      <c r="C685" s="1"/>
      <c r="E685" s="15"/>
      <c r="F685" s="1"/>
      <c r="G685" s="1"/>
      <c r="H685" s="15"/>
    </row>
    <row r="686">
      <c r="A686" s="23"/>
      <c r="B686" s="1"/>
      <c r="C686" s="1"/>
      <c r="E686" s="15"/>
      <c r="F686" s="1"/>
      <c r="G686" s="1"/>
      <c r="H686" s="15"/>
    </row>
    <row r="687">
      <c r="A687" s="23"/>
      <c r="B687" s="1"/>
      <c r="C687" s="1"/>
      <c r="E687" s="15"/>
      <c r="F687" s="1"/>
      <c r="G687" s="1"/>
      <c r="H687" s="15"/>
    </row>
    <row r="688">
      <c r="A688" s="23"/>
      <c r="B688" s="1"/>
      <c r="C688" s="1"/>
      <c r="E688" s="15"/>
      <c r="F688" s="1"/>
      <c r="G688" s="1"/>
      <c r="H688" s="15"/>
    </row>
    <row r="689">
      <c r="A689" s="23"/>
      <c r="B689" s="1"/>
      <c r="C689" s="1"/>
      <c r="E689" s="15"/>
      <c r="F689" s="1"/>
      <c r="G689" s="1"/>
      <c r="H689" s="15"/>
    </row>
    <row r="690">
      <c r="A690" s="23"/>
      <c r="B690" s="1"/>
      <c r="C690" s="1"/>
      <c r="E690" s="15"/>
      <c r="F690" s="1"/>
      <c r="G690" s="1"/>
      <c r="H690" s="15"/>
    </row>
    <row r="691">
      <c r="A691" s="23"/>
      <c r="B691" s="1"/>
      <c r="C691" s="1"/>
      <c r="E691" s="15"/>
      <c r="F691" s="1"/>
      <c r="G691" s="1"/>
      <c r="H691" s="15"/>
    </row>
    <row r="692">
      <c r="A692" s="23"/>
      <c r="B692" s="1"/>
      <c r="C692" s="1"/>
      <c r="E692" s="15"/>
      <c r="F692" s="1"/>
      <c r="G692" s="1"/>
      <c r="H692" s="15"/>
    </row>
    <row r="693">
      <c r="A693" s="23"/>
      <c r="B693" s="1"/>
      <c r="C693" s="1"/>
      <c r="E693" s="15"/>
      <c r="F693" s="1"/>
      <c r="G693" s="1"/>
      <c r="H693" s="15"/>
    </row>
    <row r="694">
      <c r="A694" s="23"/>
      <c r="B694" s="1"/>
      <c r="C694" s="1"/>
      <c r="E694" s="15"/>
      <c r="F694" s="1"/>
      <c r="G694" s="1"/>
      <c r="H694" s="15"/>
    </row>
    <row r="695">
      <c r="A695" s="23"/>
      <c r="B695" s="1"/>
      <c r="C695" s="1"/>
      <c r="E695" s="15"/>
      <c r="F695" s="1"/>
      <c r="G695" s="1"/>
      <c r="H695" s="15"/>
    </row>
    <row r="696">
      <c r="A696" s="23"/>
      <c r="B696" s="1"/>
      <c r="C696" s="1"/>
      <c r="E696" s="15"/>
      <c r="F696" s="1"/>
      <c r="G696" s="1"/>
      <c r="H696" s="15"/>
    </row>
    <row r="697">
      <c r="A697" s="23"/>
      <c r="B697" s="1"/>
      <c r="C697" s="1"/>
      <c r="E697" s="15"/>
      <c r="F697" s="1"/>
      <c r="G697" s="1"/>
      <c r="H697" s="15"/>
    </row>
    <row r="698">
      <c r="A698" s="23"/>
      <c r="B698" s="1"/>
      <c r="C698" s="1"/>
      <c r="E698" s="15"/>
      <c r="F698" s="1"/>
      <c r="G698" s="1"/>
      <c r="H698" s="15"/>
    </row>
    <row r="699">
      <c r="A699" s="23"/>
      <c r="B699" s="1"/>
      <c r="C699" s="1"/>
      <c r="E699" s="15"/>
      <c r="F699" s="1"/>
      <c r="G699" s="1"/>
      <c r="H699" s="15"/>
    </row>
    <row r="700">
      <c r="A700" s="23"/>
      <c r="B700" s="1"/>
      <c r="C700" s="1"/>
      <c r="E700" s="15"/>
      <c r="F700" s="1"/>
      <c r="G700" s="1"/>
      <c r="H700" s="15"/>
    </row>
    <row r="701">
      <c r="A701" s="23"/>
      <c r="B701" s="1"/>
      <c r="C701" s="1"/>
      <c r="E701" s="15"/>
      <c r="F701" s="1"/>
      <c r="G701" s="1"/>
      <c r="H701" s="15"/>
    </row>
    <row r="702">
      <c r="A702" s="23"/>
      <c r="B702" s="1"/>
      <c r="C702" s="1"/>
      <c r="E702" s="15"/>
      <c r="F702" s="1"/>
      <c r="G702" s="1"/>
      <c r="H702" s="15"/>
    </row>
    <row r="703">
      <c r="A703" s="23"/>
      <c r="B703" s="1"/>
      <c r="C703" s="1"/>
      <c r="E703" s="15"/>
      <c r="F703" s="1"/>
      <c r="G703" s="1"/>
      <c r="H703" s="15"/>
    </row>
    <row r="704">
      <c r="A704" s="23"/>
      <c r="B704" s="1"/>
      <c r="C704" s="1"/>
      <c r="E704" s="15"/>
      <c r="F704" s="1"/>
      <c r="G704" s="1"/>
      <c r="H704" s="15"/>
    </row>
    <row r="705">
      <c r="A705" s="23"/>
      <c r="B705" s="1"/>
      <c r="C705" s="1"/>
      <c r="E705" s="15"/>
      <c r="F705" s="1"/>
      <c r="G705" s="1"/>
      <c r="H705" s="15"/>
    </row>
    <row r="706">
      <c r="A706" s="23"/>
      <c r="B706" s="1"/>
      <c r="C706" s="1"/>
      <c r="E706" s="15"/>
      <c r="F706" s="1"/>
      <c r="G706" s="1"/>
      <c r="H706" s="15"/>
    </row>
    <row r="707">
      <c r="A707" s="23"/>
      <c r="B707" s="1"/>
      <c r="C707" s="1"/>
      <c r="E707" s="15"/>
      <c r="F707" s="1"/>
      <c r="G707" s="1"/>
      <c r="H707" s="15"/>
    </row>
    <row r="708">
      <c r="A708" s="23"/>
      <c r="B708" s="1"/>
      <c r="C708" s="1"/>
      <c r="E708" s="15"/>
      <c r="F708" s="1"/>
      <c r="G708" s="1"/>
      <c r="H708" s="15"/>
    </row>
    <row r="709">
      <c r="A709" s="23"/>
      <c r="B709" s="1"/>
      <c r="C709" s="1"/>
      <c r="E709" s="15"/>
      <c r="F709" s="1"/>
      <c r="G709" s="1"/>
      <c r="H709" s="15"/>
    </row>
    <row r="710">
      <c r="A710" s="23"/>
      <c r="B710" s="1"/>
      <c r="C710" s="1"/>
      <c r="E710" s="15"/>
      <c r="F710" s="1"/>
      <c r="G710" s="1"/>
      <c r="H710" s="15"/>
    </row>
    <row r="711">
      <c r="A711" s="23"/>
      <c r="B711" s="1"/>
      <c r="C711" s="1"/>
      <c r="E711" s="15"/>
      <c r="F711" s="1"/>
      <c r="G711" s="1"/>
      <c r="H711" s="15"/>
    </row>
    <row r="712">
      <c r="A712" s="23"/>
      <c r="B712" s="1"/>
      <c r="C712" s="1"/>
      <c r="E712" s="15"/>
      <c r="F712" s="1"/>
      <c r="G712" s="1"/>
      <c r="H712" s="15"/>
    </row>
    <row r="713">
      <c r="A713" s="23"/>
      <c r="B713" s="1"/>
      <c r="C713" s="1"/>
      <c r="E713" s="15"/>
      <c r="F713" s="1"/>
      <c r="G713" s="1"/>
      <c r="H713" s="15"/>
    </row>
    <row r="714">
      <c r="A714" s="23"/>
      <c r="B714" s="1"/>
      <c r="C714" s="1"/>
      <c r="E714" s="15"/>
      <c r="F714" s="1"/>
      <c r="G714" s="1"/>
      <c r="H714" s="15"/>
    </row>
    <row r="715">
      <c r="A715" s="23"/>
      <c r="B715" s="1"/>
      <c r="C715" s="1"/>
      <c r="E715" s="15"/>
      <c r="F715" s="1"/>
      <c r="G715" s="1"/>
      <c r="H715" s="15"/>
    </row>
    <row r="716">
      <c r="A716" s="23"/>
      <c r="B716" s="1"/>
      <c r="C716" s="1"/>
      <c r="E716" s="15"/>
      <c r="F716" s="1"/>
      <c r="G716" s="1"/>
      <c r="H716" s="15"/>
    </row>
    <row r="717">
      <c r="A717" s="23"/>
      <c r="B717" s="1"/>
      <c r="C717" s="1"/>
      <c r="E717" s="15"/>
      <c r="F717" s="1"/>
      <c r="G717" s="1"/>
      <c r="H717" s="15"/>
    </row>
    <row r="718">
      <c r="A718" s="23"/>
      <c r="B718" s="1"/>
      <c r="C718" s="1"/>
      <c r="E718" s="15"/>
      <c r="F718" s="1"/>
      <c r="G718" s="1"/>
      <c r="H718" s="15"/>
    </row>
    <row r="719">
      <c r="A719" s="23"/>
      <c r="B719" s="1"/>
      <c r="C719" s="1"/>
      <c r="E719" s="15"/>
      <c r="F719" s="1"/>
      <c r="G719" s="1"/>
      <c r="H719" s="15"/>
    </row>
    <row r="720">
      <c r="A720" s="23"/>
      <c r="B720" s="1"/>
      <c r="C720" s="1"/>
      <c r="E720" s="15"/>
      <c r="F720" s="1"/>
      <c r="G720" s="1"/>
      <c r="H720" s="15"/>
    </row>
    <row r="721">
      <c r="A721" s="23"/>
      <c r="B721" s="1"/>
      <c r="C721" s="1"/>
      <c r="E721" s="15"/>
      <c r="F721" s="1"/>
      <c r="G721" s="1"/>
      <c r="H721" s="15"/>
    </row>
    <row r="722">
      <c r="A722" s="23"/>
      <c r="B722" s="1"/>
      <c r="C722" s="1"/>
      <c r="E722" s="15"/>
      <c r="F722" s="1"/>
      <c r="G722" s="1"/>
      <c r="H722" s="15"/>
    </row>
    <row r="723">
      <c r="A723" s="23"/>
      <c r="B723" s="1"/>
      <c r="C723" s="1"/>
      <c r="E723" s="15"/>
      <c r="F723" s="1"/>
      <c r="G723" s="1"/>
      <c r="H723" s="15"/>
    </row>
    <row r="724">
      <c r="A724" s="23"/>
      <c r="B724" s="1"/>
      <c r="C724" s="1"/>
      <c r="E724" s="15"/>
      <c r="F724" s="1"/>
      <c r="G724" s="1"/>
      <c r="H724" s="15"/>
    </row>
    <row r="725">
      <c r="A725" s="23"/>
      <c r="B725" s="1"/>
      <c r="C725" s="1"/>
      <c r="E725" s="15"/>
      <c r="F725" s="1"/>
      <c r="G725" s="1"/>
      <c r="H725" s="15"/>
    </row>
    <row r="726">
      <c r="A726" s="23"/>
      <c r="B726" s="1"/>
      <c r="C726" s="1"/>
      <c r="E726" s="15"/>
      <c r="F726" s="1"/>
      <c r="G726" s="1"/>
      <c r="H726" s="15"/>
    </row>
    <row r="727">
      <c r="A727" s="23"/>
      <c r="B727" s="1"/>
      <c r="C727" s="1"/>
      <c r="E727" s="15"/>
      <c r="F727" s="1"/>
      <c r="G727" s="1"/>
      <c r="H727" s="15"/>
    </row>
    <row r="728">
      <c r="A728" s="23"/>
      <c r="B728" s="1"/>
      <c r="C728" s="1"/>
      <c r="E728" s="15"/>
      <c r="F728" s="1"/>
      <c r="G728" s="1"/>
      <c r="H728" s="15"/>
    </row>
    <row r="729">
      <c r="A729" s="23"/>
      <c r="B729" s="1"/>
      <c r="C729" s="1"/>
      <c r="E729" s="15"/>
      <c r="F729" s="1"/>
      <c r="G729" s="1"/>
      <c r="H729" s="15"/>
    </row>
    <row r="730">
      <c r="A730" s="23"/>
      <c r="B730" s="1"/>
      <c r="C730" s="1"/>
      <c r="E730" s="15"/>
      <c r="F730" s="1"/>
      <c r="G730" s="1"/>
      <c r="H730" s="15"/>
    </row>
    <row r="731">
      <c r="A731" s="23"/>
      <c r="B731" s="1"/>
      <c r="C731" s="1"/>
      <c r="E731" s="15"/>
      <c r="F731" s="1"/>
      <c r="G731" s="1"/>
      <c r="H731" s="15"/>
    </row>
    <row r="732">
      <c r="A732" s="23"/>
      <c r="B732" s="1"/>
      <c r="C732" s="1"/>
      <c r="E732" s="15"/>
      <c r="F732" s="1"/>
      <c r="G732" s="1"/>
      <c r="H732" s="15"/>
    </row>
    <row r="733">
      <c r="A733" s="23"/>
      <c r="B733" s="1"/>
      <c r="C733" s="1"/>
      <c r="E733" s="15"/>
      <c r="F733" s="1"/>
      <c r="G733" s="1"/>
      <c r="H733" s="15"/>
    </row>
    <row r="734">
      <c r="A734" s="23"/>
      <c r="B734" s="1"/>
      <c r="C734" s="1"/>
      <c r="E734" s="15"/>
      <c r="F734" s="1"/>
      <c r="G734" s="1"/>
      <c r="H734" s="15"/>
    </row>
    <row r="735">
      <c r="A735" s="23"/>
      <c r="B735" s="1"/>
      <c r="C735" s="1"/>
      <c r="E735" s="15"/>
      <c r="F735" s="1"/>
      <c r="G735" s="1"/>
      <c r="H735" s="15"/>
    </row>
    <row r="736">
      <c r="A736" s="23"/>
      <c r="B736" s="1"/>
      <c r="C736" s="1"/>
      <c r="E736" s="15"/>
      <c r="F736" s="1"/>
      <c r="G736" s="1"/>
      <c r="H736" s="15"/>
    </row>
    <row r="737">
      <c r="A737" s="23"/>
      <c r="B737" s="1"/>
      <c r="C737" s="1"/>
      <c r="E737" s="15"/>
      <c r="F737" s="1"/>
      <c r="G737" s="1"/>
      <c r="H737" s="15"/>
    </row>
    <row r="738">
      <c r="A738" s="23"/>
      <c r="B738" s="1"/>
      <c r="C738" s="1"/>
      <c r="E738" s="15"/>
      <c r="F738" s="1"/>
      <c r="G738" s="1"/>
      <c r="H738" s="15"/>
    </row>
    <row r="739">
      <c r="A739" s="23"/>
      <c r="B739" s="1"/>
      <c r="C739" s="1"/>
      <c r="E739" s="15"/>
      <c r="F739" s="1"/>
      <c r="G739" s="1"/>
      <c r="H739" s="15"/>
    </row>
    <row r="740">
      <c r="A740" s="23"/>
      <c r="B740" s="1"/>
      <c r="C740" s="1"/>
      <c r="E740" s="15"/>
      <c r="F740" s="1"/>
      <c r="G740" s="1"/>
      <c r="H740" s="15"/>
    </row>
    <row r="741">
      <c r="A741" s="23"/>
      <c r="B741" s="1"/>
      <c r="C741" s="1"/>
      <c r="E741" s="15"/>
      <c r="F741" s="1"/>
      <c r="G741" s="1"/>
      <c r="H741" s="15"/>
    </row>
    <row r="742">
      <c r="A742" s="23"/>
      <c r="B742" s="1"/>
      <c r="C742" s="1"/>
      <c r="E742" s="15"/>
      <c r="F742" s="1"/>
      <c r="G742" s="1"/>
      <c r="H742" s="15"/>
    </row>
    <row r="743">
      <c r="A743" s="23"/>
      <c r="B743" s="1"/>
      <c r="C743" s="1"/>
      <c r="E743" s="15"/>
      <c r="F743" s="1"/>
      <c r="G743" s="1"/>
      <c r="H743" s="15"/>
    </row>
    <row r="744">
      <c r="A744" s="23"/>
      <c r="B744" s="1"/>
      <c r="C744" s="1"/>
      <c r="E744" s="15"/>
      <c r="F744" s="1"/>
      <c r="G744" s="1"/>
      <c r="H744" s="15"/>
    </row>
    <row r="745">
      <c r="A745" s="23"/>
      <c r="B745" s="1"/>
      <c r="C745" s="1"/>
      <c r="E745" s="15"/>
      <c r="F745" s="1"/>
      <c r="G745" s="1"/>
      <c r="H745" s="15"/>
    </row>
    <row r="746">
      <c r="A746" s="23"/>
      <c r="B746" s="1"/>
      <c r="C746" s="1"/>
      <c r="E746" s="15"/>
      <c r="F746" s="1"/>
      <c r="G746" s="1"/>
      <c r="H746" s="15"/>
    </row>
    <row r="747">
      <c r="A747" s="23"/>
      <c r="B747" s="1"/>
      <c r="C747" s="1"/>
      <c r="E747" s="15"/>
      <c r="F747" s="1"/>
      <c r="G747" s="1"/>
      <c r="H747" s="15"/>
    </row>
    <row r="748">
      <c r="A748" s="23"/>
      <c r="B748" s="1"/>
      <c r="C748" s="1"/>
      <c r="E748" s="15"/>
      <c r="F748" s="1"/>
      <c r="G748" s="1"/>
      <c r="H748" s="15"/>
    </row>
    <row r="749">
      <c r="A749" s="23"/>
      <c r="B749" s="1"/>
      <c r="C749" s="1"/>
      <c r="E749" s="15"/>
      <c r="F749" s="1"/>
      <c r="G749" s="1"/>
      <c r="H749" s="15"/>
    </row>
    <row r="750">
      <c r="A750" s="23"/>
      <c r="B750" s="1"/>
      <c r="C750" s="1"/>
      <c r="E750" s="15"/>
      <c r="F750" s="1"/>
      <c r="G750" s="1"/>
      <c r="H750" s="15"/>
    </row>
    <row r="751">
      <c r="A751" s="23"/>
      <c r="B751" s="1"/>
      <c r="C751" s="1"/>
      <c r="E751" s="15"/>
      <c r="F751" s="1"/>
      <c r="G751" s="1"/>
      <c r="H751" s="15"/>
    </row>
    <row r="752">
      <c r="A752" s="23"/>
      <c r="B752" s="1"/>
      <c r="C752" s="1"/>
      <c r="E752" s="15"/>
      <c r="F752" s="1"/>
      <c r="G752" s="1"/>
      <c r="H752" s="15"/>
    </row>
    <row r="753">
      <c r="A753" s="23"/>
      <c r="B753" s="1"/>
      <c r="C753" s="1"/>
      <c r="E753" s="15"/>
      <c r="F753" s="1"/>
      <c r="G753" s="1"/>
      <c r="H753" s="15"/>
    </row>
    <row r="754">
      <c r="A754" s="23"/>
      <c r="B754" s="1"/>
      <c r="C754" s="1"/>
      <c r="E754" s="15"/>
      <c r="F754" s="1"/>
      <c r="G754" s="1"/>
      <c r="H754" s="15"/>
    </row>
    <row r="755">
      <c r="A755" s="23"/>
      <c r="B755" s="1"/>
      <c r="C755" s="1"/>
      <c r="E755" s="15"/>
      <c r="F755" s="1"/>
      <c r="G755" s="1"/>
      <c r="H755" s="15"/>
    </row>
    <row r="756">
      <c r="A756" s="23"/>
      <c r="B756" s="1"/>
      <c r="C756" s="1"/>
      <c r="E756" s="15"/>
      <c r="F756" s="1"/>
      <c r="G756" s="1"/>
      <c r="H756" s="15"/>
    </row>
    <row r="757">
      <c r="A757" s="23"/>
      <c r="B757" s="1"/>
      <c r="C757" s="1"/>
      <c r="E757" s="15"/>
      <c r="F757" s="1"/>
      <c r="G757" s="1"/>
      <c r="H757" s="15"/>
    </row>
    <row r="758">
      <c r="A758" s="23"/>
      <c r="B758" s="1"/>
      <c r="C758" s="1"/>
      <c r="E758" s="15"/>
      <c r="F758" s="1"/>
      <c r="G758" s="1"/>
      <c r="H758" s="15"/>
    </row>
    <row r="759">
      <c r="A759" s="23"/>
      <c r="B759" s="1"/>
      <c r="C759" s="1"/>
      <c r="E759" s="15"/>
      <c r="F759" s="1"/>
      <c r="G759" s="1"/>
      <c r="H759" s="15"/>
    </row>
    <row r="760">
      <c r="A760" s="23"/>
      <c r="B760" s="1"/>
      <c r="C760" s="1"/>
      <c r="E760" s="15"/>
      <c r="F760" s="1"/>
      <c r="G760" s="1"/>
      <c r="H760" s="15"/>
    </row>
    <row r="761">
      <c r="A761" s="23"/>
      <c r="B761" s="1"/>
      <c r="C761" s="1"/>
      <c r="E761" s="15"/>
      <c r="F761" s="1"/>
      <c r="G761" s="1"/>
      <c r="H761" s="15"/>
    </row>
    <row r="762">
      <c r="A762" s="23"/>
      <c r="B762" s="1"/>
      <c r="C762" s="1"/>
      <c r="E762" s="15"/>
      <c r="F762" s="1"/>
      <c r="G762" s="1"/>
      <c r="H762" s="15"/>
    </row>
    <row r="763">
      <c r="A763" s="23"/>
      <c r="B763" s="1"/>
      <c r="C763" s="1"/>
      <c r="E763" s="15"/>
      <c r="F763" s="1"/>
      <c r="G763" s="1"/>
      <c r="H763" s="15"/>
    </row>
    <row r="764">
      <c r="A764" s="23"/>
      <c r="B764" s="1"/>
      <c r="C764" s="1"/>
      <c r="E764" s="15"/>
      <c r="F764" s="1"/>
      <c r="G764" s="1"/>
      <c r="H764" s="15"/>
    </row>
    <row r="765">
      <c r="A765" s="23"/>
      <c r="B765" s="1"/>
      <c r="C765" s="1"/>
      <c r="E765" s="15"/>
      <c r="F765" s="1"/>
      <c r="G765" s="1"/>
      <c r="H765" s="15"/>
    </row>
    <row r="766">
      <c r="A766" s="23"/>
      <c r="B766" s="1"/>
      <c r="C766" s="1"/>
      <c r="E766" s="15"/>
      <c r="F766" s="1"/>
      <c r="G766" s="1"/>
      <c r="H766" s="15"/>
    </row>
    <row r="767">
      <c r="A767" s="23"/>
      <c r="B767" s="1"/>
      <c r="C767" s="1"/>
      <c r="E767" s="15"/>
      <c r="F767" s="1"/>
      <c r="G767" s="1"/>
      <c r="H767" s="15"/>
    </row>
  </sheetData>
  <autoFilter ref="$A$1:$AB$682">
    <filterColumn colId="0">
      <filters>
        <filter val="10.1145 3238147.3238166"/>
      </filters>
    </filterColumn>
  </autoFil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5"/>
  </cols>
  <sheetData>
    <row r="1">
      <c r="A1" s="35" t="s">
        <v>850</v>
      </c>
      <c r="B1" s="1">
        <v>2011.0</v>
      </c>
      <c r="C1" s="1" t="s">
        <v>2198</v>
      </c>
    </row>
    <row r="2">
      <c r="A2" s="35" t="s">
        <v>1862</v>
      </c>
      <c r="B2" s="1">
        <v>2011.0</v>
      </c>
      <c r="C2" s="1" t="s">
        <v>2199</v>
      </c>
    </row>
    <row r="3">
      <c r="A3" s="35" t="s">
        <v>1494</v>
      </c>
      <c r="B3" s="1">
        <v>2011.0</v>
      </c>
      <c r="C3" s="1" t="s">
        <v>2200</v>
      </c>
    </row>
    <row r="4">
      <c r="A4" s="35" t="s">
        <v>1154</v>
      </c>
      <c r="B4" s="1">
        <v>2012.0</v>
      </c>
      <c r="C4" s="1" t="s">
        <v>2198</v>
      </c>
    </row>
    <row r="5">
      <c r="A5" s="35" t="s">
        <v>341</v>
      </c>
      <c r="B5" s="1">
        <v>2012.0</v>
      </c>
      <c r="C5" s="1" t="s">
        <v>2198</v>
      </c>
    </row>
    <row r="6">
      <c r="A6" s="35" t="s">
        <v>1755</v>
      </c>
      <c r="B6" s="1">
        <v>2012.0</v>
      </c>
      <c r="C6" s="1" t="s">
        <v>2200</v>
      </c>
    </row>
    <row r="7">
      <c r="A7" s="35" t="s">
        <v>598</v>
      </c>
      <c r="B7" s="1">
        <v>2012.0</v>
      </c>
      <c r="C7" s="1" t="s">
        <v>2199</v>
      </c>
    </row>
    <row r="8">
      <c r="A8" s="35" t="s">
        <v>8</v>
      </c>
      <c r="B8" s="1">
        <v>2013.0</v>
      </c>
      <c r="C8" s="1" t="s">
        <v>2199</v>
      </c>
    </row>
    <row r="9">
      <c r="A9" s="35" t="s">
        <v>1519</v>
      </c>
      <c r="B9" s="1">
        <v>2013.0</v>
      </c>
      <c r="C9" s="1" t="s">
        <v>2200</v>
      </c>
    </row>
    <row r="10">
      <c r="A10" s="35" t="s">
        <v>665</v>
      </c>
      <c r="B10" s="1">
        <v>2013.0</v>
      </c>
      <c r="C10" s="1" t="s">
        <v>2198</v>
      </c>
    </row>
    <row r="11">
      <c r="A11" s="35" t="s">
        <v>1959</v>
      </c>
      <c r="B11" s="1">
        <v>2013.0</v>
      </c>
      <c r="C11" s="1" t="s">
        <v>2198</v>
      </c>
    </row>
    <row r="12">
      <c r="A12" s="35" t="s">
        <v>587</v>
      </c>
      <c r="B12" s="1">
        <v>2013.0</v>
      </c>
      <c r="C12" s="1" t="s">
        <v>2200</v>
      </c>
    </row>
    <row r="13">
      <c r="A13" s="35" t="s">
        <v>825</v>
      </c>
      <c r="B13" s="1">
        <v>2014.0</v>
      </c>
      <c r="C13" s="1" t="s">
        <v>2198</v>
      </c>
    </row>
    <row r="14">
      <c r="A14" s="35" t="s">
        <v>128</v>
      </c>
      <c r="B14" s="1">
        <v>2014.0</v>
      </c>
      <c r="C14" s="1" t="s">
        <v>2200</v>
      </c>
    </row>
    <row r="15">
      <c r="A15" s="35" t="s">
        <v>636</v>
      </c>
      <c r="B15" s="1">
        <v>2014.0</v>
      </c>
      <c r="C15" s="1" t="s">
        <v>2198</v>
      </c>
    </row>
    <row r="16">
      <c r="A16" s="35" t="s">
        <v>686</v>
      </c>
      <c r="B16" s="1">
        <v>2014.0</v>
      </c>
      <c r="C16" s="1" t="s">
        <v>2199</v>
      </c>
    </row>
    <row r="17">
      <c r="A17" s="35" t="s">
        <v>1470</v>
      </c>
      <c r="B17" s="1">
        <v>2015.0</v>
      </c>
      <c r="C17" s="1" t="s">
        <v>2198</v>
      </c>
    </row>
    <row r="18">
      <c r="A18" s="35" t="s">
        <v>1327</v>
      </c>
      <c r="B18" s="1">
        <v>2015.0</v>
      </c>
      <c r="C18" s="1" t="s">
        <v>2199</v>
      </c>
    </row>
    <row r="19">
      <c r="A19" s="35" t="s">
        <v>1798</v>
      </c>
      <c r="B19" s="1">
        <v>2015.0</v>
      </c>
      <c r="C19" s="1" t="s">
        <v>2198</v>
      </c>
    </row>
    <row r="20">
      <c r="A20" s="35" t="s">
        <v>483</v>
      </c>
      <c r="B20" s="1">
        <v>2015.0</v>
      </c>
      <c r="C20" s="1" t="s">
        <v>2200</v>
      </c>
    </row>
    <row r="21">
      <c r="A21" s="35" t="s">
        <v>318</v>
      </c>
      <c r="B21" s="1">
        <v>2015.0</v>
      </c>
      <c r="C21" s="1" t="s">
        <v>2200</v>
      </c>
    </row>
    <row r="22">
      <c r="A22" s="1" t="s">
        <v>1153</v>
      </c>
      <c r="B22" s="1">
        <v>2015.0</v>
      </c>
      <c r="C22" s="1" t="s">
        <v>2198</v>
      </c>
    </row>
    <row r="23">
      <c r="A23" s="1" t="s">
        <v>1030</v>
      </c>
      <c r="B23" s="1">
        <v>2016.0</v>
      </c>
      <c r="C23" s="1" t="s">
        <v>2200</v>
      </c>
    </row>
    <row r="24">
      <c r="A24" s="1" t="s">
        <v>957</v>
      </c>
      <c r="B24" s="1">
        <v>2016.0</v>
      </c>
      <c r="C24" s="1" t="s">
        <v>2200</v>
      </c>
    </row>
    <row r="25">
      <c r="A25" s="1" t="s">
        <v>1774</v>
      </c>
      <c r="B25" s="1">
        <v>2016.0</v>
      </c>
      <c r="C25" s="1" t="s">
        <v>2198</v>
      </c>
    </row>
    <row r="26">
      <c r="A26" s="1" t="s">
        <v>1901</v>
      </c>
      <c r="B26" s="1">
        <v>2016.0</v>
      </c>
      <c r="C26" s="1" t="s">
        <v>2198</v>
      </c>
    </row>
    <row r="27">
      <c r="A27" s="1" t="s">
        <v>1240</v>
      </c>
      <c r="B27" s="1">
        <v>2016.0</v>
      </c>
      <c r="C27" s="1" t="s">
        <v>2199</v>
      </c>
    </row>
    <row r="28">
      <c r="A28" s="1" t="s">
        <v>875</v>
      </c>
      <c r="B28" s="1">
        <v>2017.0</v>
      </c>
      <c r="C28" s="1" t="s">
        <v>2199</v>
      </c>
    </row>
    <row r="29">
      <c r="A29" s="1" t="s">
        <v>1287</v>
      </c>
      <c r="B29" s="1">
        <v>2017.0</v>
      </c>
      <c r="C29" s="1" t="s">
        <v>2200</v>
      </c>
    </row>
    <row r="30">
      <c r="A30" s="1" t="s">
        <v>986</v>
      </c>
      <c r="B30" s="1">
        <v>2017.0</v>
      </c>
      <c r="C30" s="1" t="s">
        <v>2200</v>
      </c>
    </row>
    <row r="31">
      <c r="A31" s="1" t="s">
        <v>1775</v>
      </c>
      <c r="B31" s="1">
        <v>2017.0</v>
      </c>
      <c r="C31" s="1" t="s">
        <v>2198</v>
      </c>
    </row>
    <row r="32">
      <c r="A32" s="1" t="s">
        <v>1423</v>
      </c>
      <c r="B32" s="1">
        <v>2017.0</v>
      </c>
      <c r="C32" s="1" t="s">
        <v>2198</v>
      </c>
    </row>
    <row r="33">
      <c r="A33" s="1" t="s">
        <v>64</v>
      </c>
      <c r="B33" s="1">
        <v>2018.0</v>
      </c>
      <c r="C33" s="1" t="s">
        <v>2199</v>
      </c>
    </row>
    <row r="34">
      <c r="A34" s="1" t="s">
        <v>571</v>
      </c>
      <c r="B34" s="1">
        <v>2018.0</v>
      </c>
      <c r="C34" s="1" t="s">
        <v>2200</v>
      </c>
    </row>
    <row r="35">
      <c r="A35" s="1" t="s">
        <v>800</v>
      </c>
      <c r="B35" s="1">
        <v>2018.0</v>
      </c>
      <c r="C35" s="1" t="s">
        <v>2200</v>
      </c>
    </row>
    <row r="36">
      <c r="A36" s="1" t="s">
        <v>424</v>
      </c>
      <c r="B36" s="1">
        <v>2018.0</v>
      </c>
      <c r="C36" s="1" t="s">
        <v>2200</v>
      </c>
    </row>
    <row r="37">
      <c r="A37" s="1" t="s">
        <v>516</v>
      </c>
      <c r="B37" s="1">
        <v>2018.0</v>
      </c>
      <c r="C37" s="1" t="s">
        <v>2199</v>
      </c>
    </row>
    <row r="38">
      <c r="A38" s="1" t="s">
        <v>935</v>
      </c>
      <c r="B38" s="1">
        <v>2018.0</v>
      </c>
      <c r="C38" s="1" t="s">
        <v>2198</v>
      </c>
    </row>
    <row r="39">
      <c r="A39" s="1" t="s">
        <v>2091</v>
      </c>
      <c r="B39" s="1">
        <v>2019.0</v>
      </c>
      <c r="C39" s="1" t="s">
        <v>2198</v>
      </c>
    </row>
    <row r="40">
      <c r="A40" s="1" t="s">
        <v>1300</v>
      </c>
      <c r="B40" s="1">
        <v>2019.0</v>
      </c>
      <c r="C40" s="1" t="s">
        <v>2198</v>
      </c>
    </row>
    <row r="41">
      <c r="A41" s="1" t="s">
        <v>448</v>
      </c>
      <c r="B41" s="1">
        <v>2019.0</v>
      </c>
      <c r="C41" s="1" t="s">
        <v>2198</v>
      </c>
    </row>
    <row r="42">
      <c r="A42" s="1" t="s">
        <v>1671</v>
      </c>
      <c r="B42" s="1">
        <v>2019.0</v>
      </c>
      <c r="C42" s="1" t="s">
        <v>2198</v>
      </c>
    </row>
    <row r="43">
      <c r="A43" s="1" t="s">
        <v>1394</v>
      </c>
      <c r="B43" s="1">
        <v>2019.0</v>
      </c>
      <c r="C43" s="1" t="s">
        <v>2199</v>
      </c>
    </row>
    <row r="44">
      <c r="A44" s="1" t="s">
        <v>1520</v>
      </c>
      <c r="B44" s="1">
        <v>2019.0</v>
      </c>
      <c r="C44" s="1" t="s">
        <v>2200</v>
      </c>
    </row>
    <row r="45">
      <c r="A45" s="1" t="s">
        <v>284</v>
      </c>
      <c r="B45" s="1">
        <v>2019.0</v>
      </c>
      <c r="C45" s="1" t="s">
        <v>2200</v>
      </c>
    </row>
    <row r="46">
      <c r="A46" s="1" t="s">
        <v>1997</v>
      </c>
      <c r="B46" s="1">
        <v>2019.0</v>
      </c>
      <c r="C46" s="1" t="s">
        <v>2200</v>
      </c>
    </row>
    <row r="47">
      <c r="A47" s="1" t="s">
        <v>1557</v>
      </c>
      <c r="B47" s="1">
        <v>2019.0</v>
      </c>
      <c r="C47" s="1" t="s">
        <v>2199</v>
      </c>
    </row>
    <row r="48">
      <c r="A48" s="1" t="s">
        <v>2048</v>
      </c>
      <c r="B48" s="1">
        <v>2019.0</v>
      </c>
      <c r="C48" s="1" t="s">
        <v>2199</v>
      </c>
    </row>
    <row r="49">
      <c r="A49" s="1" t="s">
        <v>1113</v>
      </c>
      <c r="B49" s="1">
        <v>2019.0</v>
      </c>
      <c r="C49" s="1" t="s">
        <v>2199</v>
      </c>
    </row>
    <row r="50">
      <c r="A50" s="1" t="s">
        <v>1288</v>
      </c>
      <c r="B50" s="1">
        <v>2020.0</v>
      </c>
      <c r="C50" s="1" t="s">
        <v>2200</v>
      </c>
    </row>
    <row r="51">
      <c r="A51" s="1" t="s">
        <v>256</v>
      </c>
      <c r="B51" s="1">
        <v>2020.0</v>
      </c>
      <c r="C51" s="1" t="s">
        <v>2200</v>
      </c>
    </row>
    <row r="52">
      <c r="A52" s="1" t="s">
        <v>799</v>
      </c>
      <c r="B52" s="1">
        <v>2020.0</v>
      </c>
      <c r="C52" s="1" t="s">
        <v>2200</v>
      </c>
    </row>
    <row r="53">
      <c r="A53" s="1" t="s">
        <v>1824</v>
      </c>
      <c r="B53" s="1">
        <v>2020.0</v>
      </c>
      <c r="C53" s="1" t="s">
        <v>2198</v>
      </c>
    </row>
    <row r="54">
      <c r="A54" s="1" t="s">
        <v>1181</v>
      </c>
      <c r="B54" s="1">
        <v>2020.0</v>
      </c>
      <c r="C54" s="1" t="s">
        <v>2200</v>
      </c>
    </row>
    <row r="55">
      <c r="A55" s="1" t="s">
        <v>369</v>
      </c>
      <c r="B55" s="1">
        <v>2020.0</v>
      </c>
      <c r="C55" s="1" t="s">
        <v>2198</v>
      </c>
    </row>
    <row r="56">
      <c r="A56" s="1" t="s">
        <v>1362</v>
      </c>
      <c r="B56" s="1">
        <v>2020.0</v>
      </c>
      <c r="C56" s="1" t="s">
        <v>2200</v>
      </c>
    </row>
    <row r="57">
      <c r="A57" s="1" t="s">
        <v>1595</v>
      </c>
      <c r="B57" s="1">
        <v>2020.0</v>
      </c>
      <c r="C57" s="1" t="s">
        <v>2199</v>
      </c>
    </row>
    <row r="58">
      <c r="A58" s="1" t="s">
        <v>1712</v>
      </c>
      <c r="B58" s="1">
        <v>2020.0</v>
      </c>
      <c r="C58" s="1" t="s">
        <v>2198</v>
      </c>
    </row>
    <row r="59">
      <c r="A59" s="1" t="s">
        <v>2024</v>
      </c>
      <c r="B59" s="1">
        <v>2020.0</v>
      </c>
      <c r="C59" s="1" t="s">
        <v>2199</v>
      </c>
    </row>
    <row r="60">
      <c r="A60" s="1" t="s">
        <v>1618</v>
      </c>
      <c r="B60" s="1">
        <v>2020.0</v>
      </c>
      <c r="C60" s="1" t="s">
        <v>2198</v>
      </c>
    </row>
    <row r="61">
      <c r="A61" s="1" t="s">
        <v>973</v>
      </c>
      <c r="B61" s="1">
        <v>2020.0</v>
      </c>
      <c r="C61" s="1" t="s">
        <v>2198</v>
      </c>
    </row>
    <row r="62">
      <c r="A62" s="1" t="s">
        <v>1057</v>
      </c>
      <c r="B62" s="1">
        <v>2020.0</v>
      </c>
      <c r="C62" s="1" t="s">
        <v>2199</v>
      </c>
    </row>
    <row r="63">
      <c r="A63" s="1" t="s">
        <v>722</v>
      </c>
      <c r="B63" s="1">
        <v>2020.0</v>
      </c>
      <c r="C63" s="1" t="s">
        <v>2200</v>
      </c>
    </row>
    <row r="64">
      <c r="A64" s="1" t="s">
        <v>378</v>
      </c>
      <c r="B64" s="1">
        <v>2020.0</v>
      </c>
      <c r="C64" s="1" t="s">
        <v>2200</v>
      </c>
    </row>
    <row r="65">
      <c r="A65" s="1" t="s">
        <v>2147</v>
      </c>
      <c r="B65" s="1">
        <v>2020.0</v>
      </c>
      <c r="C65" s="1" t="s">
        <v>2199</v>
      </c>
    </row>
    <row r="66">
      <c r="A66" s="1" t="s">
        <v>189</v>
      </c>
      <c r="B66" s="1">
        <v>2020.0</v>
      </c>
      <c r="C66" s="1" t="s">
        <v>2199</v>
      </c>
    </row>
    <row r="67">
      <c r="A67" s="1" t="s">
        <v>2201</v>
      </c>
      <c r="B67" s="1">
        <v>2021.0</v>
      </c>
      <c r="C67" s="1" t="s">
        <v>2198</v>
      </c>
    </row>
    <row r="68">
      <c r="A68" s="1" t="s">
        <v>1289</v>
      </c>
      <c r="B68" s="1">
        <v>2021.0</v>
      </c>
      <c r="C68" s="1" t="s">
        <v>2200</v>
      </c>
    </row>
    <row r="69">
      <c r="A69" s="1" t="s">
        <v>2202</v>
      </c>
      <c r="B69" s="1">
        <v>2021.0</v>
      </c>
      <c r="C69" s="1" t="s">
        <v>2199</v>
      </c>
    </row>
    <row r="70">
      <c r="A70" s="1" t="s">
        <v>514</v>
      </c>
      <c r="B70" s="1">
        <v>2021.0</v>
      </c>
      <c r="C70" s="1" t="s">
        <v>2200</v>
      </c>
    </row>
    <row r="71">
      <c r="A71" s="1" t="s">
        <v>1738</v>
      </c>
      <c r="B71" s="1">
        <v>2021.0</v>
      </c>
      <c r="C71" s="1" t="s">
        <v>2200</v>
      </c>
    </row>
    <row r="72">
      <c r="A72" s="1" t="s">
        <v>2203</v>
      </c>
      <c r="B72" s="1">
        <v>2021.0</v>
      </c>
      <c r="C72" s="1" t="s">
        <v>2198</v>
      </c>
    </row>
    <row r="73">
      <c r="A73" s="35" t="s">
        <v>542</v>
      </c>
      <c r="B73" s="1">
        <v>2021.0</v>
      </c>
      <c r="C73" s="1" t="s">
        <v>2200</v>
      </c>
    </row>
    <row r="74">
      <c r="A74" s="35" t="s">
        <v>2204</v>
      </c>
      <c r="B74" s="1">
        <v>2021.0</v>
      </c>
      <c r="C74" s="1" t="s">
        <v>2198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5"/>
    <col customWidth="1" min="3" max="3" width="18.38"/>
  </cols>
  <sheetData>
    <row r="1">
      <c r="A1" s="14" t="s">
        <v>2205</v>
      </c>
      <c r="B1" s="14" t="s">
        <v>2206</v>
      </c>
      <c r="C1" s="14" t="s">
        <v>2207</v>
      </c>
      <c r="D1" s="14" t="s">
        <v>2208</v>
      </c>
      <c r="E1" s="14" t="s">
        <v>2209</v>
      </c>
    </row>
    <row r="2" hidden="1">
      <c r="A2" s="1" t="s">
        <v>1862</v>
      </c>
      <c r="B2" s="1" t="s">
        <v>2199</v>
      </c>
      <c r="D2" s="8" t="s">
        <v>2199</v>
      </c>
      <c r="E2" s="8">
        <v>2011.0</v>
      </c>
    </row>
    <row r="3" hidden="1">
      <c r="A3" s="1" t="s">
        <v>8</v>
      </c>
      <c r="B3" s="1" t="s">
        <v>2199</v>
      </c>
      <c r="D3" s="8" t="s">
        <v>2199</v>
      </c>
      <c r="E3" s="8">
        <v>2013.0</v>
      </c>
    </row>
    <row r="4">
      <c r="A4" s="1" t="s">
        <v>1327</v>
      </c>
      <c r="B4" s="1" t="s">
        <v>2199</v>
      </c>
      <c r="D4" s="8" t="s">
        <v>2199</v>
      </c>
      <c r="E4" s="8">
        <v>2015.0</v>
      </c>
    </row>
    <row r="5" hidden="1">
      <c r="A5" s="1" t="s">
        <v>875</v>
      </c>
      <c r="B5" s="1" t="s">
        <v>2199</v>
      </c>
      <c r="D5" s="8" t="s">
        <v>2199</v>
      </c>
      <c r="E5" s="8">
        <v>2017.0</v>
      </c>
    </row>
    <row r="6" hidden="1">
      <c r="A6" s="23" t="s">
        <v>2048</v>
      </c>
      <c r="B6" s="1" t="s">
        <v>2199</v>
      </c>
      <c r="D6" s="8" t="s">
        <v>2199</v>
      </c>
      <c r="E6" s="8">
        <v>2019.0</v>
      </c>
    </row>
    <row r="7" hidden="1">
      <c r="A7" s="1" t="s">
        <v>1113</v>
      </c>
      <c r="B7" s="1" t="s">
        <v>2199</v>
      </c>
      <c r="D7" s="8" t="s">
        <v>2199</v>
      </c>
      <c r="E7" s="8">
        <v>2019.0</v>
      </c>
    </row>
    <row r="8" hidden="1">
      <c r="A8" s="1" t="s">
        <v>1557</v>
      </c>
      <c r="B8" s="1" t="s">
        <v>2199</v>
      </c>
      <c r="D8" s="8" t="s">
        <v>2199</v>
      </c>
      <c r="E8" s="8">
        <v>2019.0</v>
      </c>
    </row>
    <row r="9" hidden="1">
      <c r="A9" s="1" t="s">
        <v>1394</v>
      </c>
      <c r="B9" s="1" t="s">
        <v>2199</v>
      </c>
      <c r="D9" s="8" t="s">
        <v>2199</v>
      </c>
      <c r="E9" s="8">
        <v>2019.0</v>
      </c>
    </row>
    <row r="10" hidden="1">
      <c r="A10" s="1" t="s">
        <v>2202</v>
      </c>
      <c r="B10" s="14" t="s">
        <v>2210</v>
      </c>
      <c r="C10" s="14" t="s">
        <v>2211</v>
      </c>
      <c r="D10" s="8" t="s">
        <v>2199</v>
      </c>
      <c r="E10" s="8">
        <v>2021.0</v>
      </c>
    </row>
    <row r="11" hidden="1">
      <c r="A11" s="18" t="s">
        <v>341</v>
      </c>
      <c r="B11" s="1" t="s">
        <v>2198</v>
      </c>
      <c r="D11" s="8" t="s">
        <v>2198</v>
      </c>
      <c r="E11" s="8">
        <v>2012.0</v>
      </c>
    </row>
    <row r="12" hidden="1">
      <c r="A12" s="1" t="s">
        <v>1154</v>
      </c>
      <c r="B12" s="1" t="s">
        <v>2198</v>
      </c>
      <c r="D12" s="8" t="s">
        <v>2198</v>
      </c>
      <c r="E12" s="8">
        <v>2012.0</v>
      </c>
    </row>
    <row r="13" hidden="1">
      <c r="A13" s="23" t="s">
        <v>1959</v>
      </c>
      <c r="B13" s="1" t="s">
        <v>2198</v>
      </c>
      <c r="D13" s="8" t="s">
        <v>2198</v>
      </c>
      <c r="E13" s="8">
        <v>2013.0</v>
      </c>
    </row>
    <row r="14" hidden="1">
      <c r="A14" s="26" t="s">
        <v>665</v>
      </c>
      <c r="B14" s="1" t="s">
        <v>2198</v>
      </c>
      <c r="D14" s="8" t="s">
        <v>2198</v>
      </c>
      <c r="E14" s="8">
        <v>2013.0</v>
      </c>
    </row>
    <row r="15" hidden="1">
      <c r="A15" s="1" t="s">
        <v>1775</v>
      </c>
      <c r="B15" s="1" t="s">
        <v>2198</v>
      </c>
      <c r="D15" s="8" t="s">
        <v>2198</v>
      </c>
      <c r="E15" s="8">
        <v>2017.0</v>
      </c>
    </row>
    <row r="16" hidden="1">
      <c r="A16" s="1" t="s">
        <v>1423</v>
      </c>
      <c r="B16" s="1" t="s">
        <v>2198</v>
      </c>
      <c r="D16" s="8" t="s">
        <v>2198</v>
      </c>
      <c r="E16" s="8">
        <v>2017.0</v>
      </c>
    </row>
    <row r="17" hidden="1">
      <c r="A17" s="23" t="s">
        <v>2091</v>
      </c>
      <c r="B17" s="1" t="s">
        <v>2198</v>
      </c>
      <c r="D17" s="8" t="s">
        <v>2198</v>
      </c>
      <c r="E17" s="8">
        <v>2019.0</v>
      </c>
    </row>
    <row r="18" hidden="1">
      <c r="A18" s="1" t="s">
        <v>1300</v>
      </c>
      <c r="B18" s="1" t="s">
        <v>2198</v>
      </c>
      <c r="D18" s="8" t="s">
        <v>2198</v>
      </c>
      <c r="E18" s="8">
        <v>2019.0</v>
      </c>
    </row>
    <row r="19" hidden="1">
      <c r="A19" s="1" t="s">
        <v>1671</v>
      </c>
      <c r="B19" s="1" t="s">
        <v>2198</v>
      </c>
      <c r="D19" s="8" t="s">
        <v>2198</v>
      </c>
      <c r="E19" s="8">
        <v>2019.0</v>
      </c>
    </row>
    <row r="20" hidden="1">
      <c r="A20" s="1" t="s">
        <v>448</v>
      </c>
      <c r="B20" s="1" t="s">
        <v>2198</v>
      </c>
      <c r="D20" s="8" t="s">
        <v>2198</v>
      </c>
      <c r="E20" s="8">
        <v>2019.0</v>
      </c>
    </row>
    <row r="21" hidden="1">
      <c r="A21" s="1" t="s">
        <v>2204</v>
      </c>
      <c r="B21" s="14" t="s">
        <v>2212</v>
      </c>
      <c r="C21" s="14" t="s">
        <v>2211</v>
      </c>
      <c r="D21" s="8" t="s">
        <v>2198</v>
      </c>
      <c r="E21" s="8">
        <v>2021.0</v>
      </c>
    </row>
    <row r="22" hidden="1">
      <c r="A22" s="1" t="s">
        <v>2203</v>
      </c>
      <c r="B22" s="14" t="s">
        <v>2212</v>
      </c>
      <c r="C22" s="14" t="s">
        <v>2211</v>
      </c>
      <c r="D22" s="8" t="s">
        <v>2198</v>
      </c>
      <c r="E22" s="8">
        <v>2021.0</v>
      </c>
    </row>
    <row r="23" hidden="1">
      <c r="A23" s="36" t="s">
        <v>2201</v>
      </c>
      <c r="B23" s="14" t="s">
        <v>2212</v>
      </c>
      <c r="C23" s="14" t="s">
        <v>2211</v>
      </c>
      <c r="D23" s="8" t="s">
        <v>2198</v>
      </c>
      <c r="E23" s="8">
        <v>2021.0</v>
      </c>
    </row>
    <row r="24" hidden="1">
      <c r="A24" s="1" t="s">
        <v>850</v>
      </c>
      <c r="B24" s="1" t="s">
        <v>2198</v>
      </c>
      <c r="D24" s="8" t="s">
        <v>2198</v>
      </c>
      <c r="E24" s="8">
        <v>2011.0</v>
      </c>
    </row>
    <row r="25" hidden="1">
      <c r="A25" s="1" t="s">
        <v>1494</v>
      </c>
      <c r="B25" s="1" t="s">
        <v>2213</v>
      </c>
      <c r="D25" s="8" t="s">
        <v>2200</v>
      </c>
      <c r="E25" s="8">
        <v>2011.0</v>
      </c>
    </row>
    <row r="26" hidden="1">
      <c r="A26" s="22" t="s">
        <v>598</v>
      </c>
      <c r="B26" s="1" t="s">
        <v>2214</v>
      </c>
      <c r="D26" s="8" t="s">
        <v>2199</v>
      </c>
      <c r="E26" s="8">
        <v>2012.0</v>
      </c>
    </row>
    <row r="27" hidden="1">
      <c r="A27" s="1" t="s">
        <v>1755</v>
      </c>
      <c r="B27" s="1" t="s">
        <v>2215</v>
      </c>
      <c r="D27" s="8" t="s">
        <v>2200</v>
      </c>
      <c r="E27" s="8">
        <v>2012.0</v>
      </c>
    </row>
    <row r="28" hidden="1">
      <c r="A28" s="22" t="s">
        <v>587</v>
      </c>
      <c r="B28" s="1" t="s">
        <v>2216</v>
      </c>
      <c r="D28" s="8" t="s">
        <v>2200</v>
      </c>
      <c r="E28" s="8">
        <v>2013.0</v>
      </c>
    </row>
    <row r="29" hidden="1">
      <c r="A29" s="1" t="s">
        <v>1519</v>
      </c>
      <c r="B29" s="1" t="s">
        <v>2216</v>
      </c>
      <c r="D29" s="8" t="s">
        <v>2200</v>
      </c>
      <c r="E29" s="8">
        <v>2013.0</v>
      </c>
    </row>
    <row r="30" hidden="1">
      <c r="A30" s="26" t="s">
        <v>636</v>
      </c>
      <c r="B30" s="1" t="s">
        <v>2217</v>
      </c>
      <c r="D30" s="8" t="s">
        <v>2198</v>
      </c>
      <c r="E30" s="8">
        <v>2014.0</v>
      </c>
    </row>
    <row r="31" hidden="1">
      <c r="A31" s="27" t="s">
        <v>825</v>
      </c>
      <c r="B31" s="1" t="s">
        <v>2217</v>
      </c>
      <c r="D31" s="8" t="s">
        <v>2198</v>
      </c>
      <c r="E31" s="8">
        <v>2014.0</v>
      </c>
    </row>
    <row r="32" hidden="1">
      <c r="A32" s="18" t="s">
        <v>128</v>
      </c>
      <c r="B32" s="1" t="s">
        <v>2218</v>
      </c>
      <c r="D32" s="8" t="s">
        <v>2200</v>
      </c>
      <c r="E32" s="8">
        <v>2014.0</v>
      </c>
    </row>
    <row r="33" hidden="1">
      <c r="A33" s="26" t="s">
        <v>686</v>
      </c>
      <c r="B33" s="1" t="s">
        <v>2219</v>
      </c>
      <c r="D33" s="8" t="s">
        <v>2199</v>
      </c>
      <c r="E33" s="8">
        <v>2014.0</v>
      </c>
    </row>
    <row r="34">
      <c r="A34" s="1" t="s">
        <v>318</v>
      </c>
      <c r="B34" s="1" t="s">
        <v>2220</v>
      </c>
      <c r="D34" s="8" t="s">
        <v>2200</v>
      </c>
      <c r="E34" s="8">
        <v>2015.0</v>
      </c>
    </row>
    <row r="35">
      <c r="A35" s="1" t="s">
        <v>483</v>
      </c>
      <c r="B35" s="1" t="s">
        <v>2220</v>
      </c>
      <c r="D35" s="8" t="s">
        <v>2200</v>
      </c>
      <c r="E35" s="8">
        <v>2015.0</v>
      </c>
    </row>
    <row r="36" hidden="1">
      <c r="A36" s="1" t="s">
        <v>1774</v>
      </c>
      <c r="B36" s="1" t="s">
        <v>2221</v>
      </c>
      <c r="D36" s="8" t="s">
        <v>2198</v>
      </c>
      <c r="E36" s="8">
        <v>2016.0</v>
      </c>
    </row>
    <row r="37" hidden="1">
      <c r="A37" s="23" t="s">
        <v>1901</v>
      </c>
      <c r="B37" s="1" t="s">
        <v>2221</v>
      </c>
      <c r="D37" s="8" t="s">
        <v>2198</v>
      </c>
      <c r="E37" s="8">
        <v>2016.0</v>
      </c>
    </row>
    <row r="38" hidden="1">
      <c r="A38" s="1" t="s">
        <v>1030</v>
      </c>
      <c r="B38" s="1" t="s">
        <v>2222</v>
      </c>
      <c r="D38" s="8" t="s">
        <v>2200</v>
      </c>
      <c r="E38" s="8">
        <v>2016.0</v>
      </c>
    </row>
    <row r="39" hidden="1">
      <c r="A39" s="1" t="s">
        <v>957</v>
      </c>
      <c r="B39" s="1" t="s">
        <v>2222</v>
      </c>
      <c r="D39" s="8" t="s">
        <v>2200</v>
      </c>
      <c r="E39" s="8">
        <v>2016.0</v>
      </c>
    </row>
    <row r="40" hidden="1">
      <c r="A40" s="1" t="s">
        <v>1240</v>
      </c>
      <c r="B40" s="1" t="s">
        <v>2223</v>
      </c>
      <c r="D40" s="8" t="s">
        <v>2199</v>
      </c>
      <c r="E40" s="8">
        <v>2016.0</v>
      </c>
    </row>
    <row r="41" hidden="1">
      <c r="A41" s="1" t="s">
        <v>1287</v>
      </c>
      <c r="B41" s="1" t="s">
        <v>2224</v>
      </c>
      <c r="D41" s="8" t="s">
        <v>2200</v>
      </c>
      <c r="E41" s="8">
        <v>2017.0</v>
      </c>
    </row>
    <row r="42" hidden="1">
      <c r="A42" s="1" t="s">
        <v>986</v>
      </c>
      <c r="B42" s="1" t="s">
        <v>2224</v>
      </c>
      <c r="D42" s="8" t="s">
        <v>2200</v>
      </c>
      <c r="E42" s="8">
        <v>2017.0</v>
      </c>
    </row>
    <row r="43" hidden="1">
      <c r="A43" s="1" t="s">
        <v>935</v>
      </c>
      <c r="B43" s="1" t="s">
        <v>2225</v>
      </c>
      <c r="D43" s="8" t="s">
        <v>2198</v>
      </c>
      <c r="E43" s="8">
        <v>2018.0</v>
      </c>
    </row>
    <row r="44" hidden="1">
      <c r="A44" s="27" t="s">
        <v>800</v>
      </c>
      <c r="B44" s="1" t="s">
        <v>2226</v>
      </c>
      <c r="D44" s="8" t="s">
        <v>2200</v>
      </c>
      <c r="E44" s="8">
        <v>2018.0</v>
      </c>
    </row>
    <row r="45" hidden="1">
      <c r="A45" s="22" t="s">
        <v>571</v>
      </c>
      <c r="B45" s="1" t="s">
        <v>2226</v>
      </c>
      <c r="D45" s="8" t="s">
        <v>2200</v>
      </c>
      <c r="E45" s="8">
        <v>2018.0</v>
      </c>
    </row>
    <row r="46" hidden="1">
      <c r="A46" s="1" t="s">
        <v>424</v>
      </c>
      <c r="B46" s="1" t="s">
        <v>2226</v>
      </c>
      <c r="D46" s="8" t="s">
        <v>2200</v>
      </c>
      <c r="E46" s="8">
        <v>2018.0</v>
      </c>
    </row>
    <row r="47" hidden="1">
      <c r="A47" s="1" t="s">
        <v>64</v>
      </c>
      <c r="B47" s="1" t="s">
        <v>2227</v>
      </c>
      <c r="D47" s="8" t="s">
        <v>2199</v>
      </c>
      <c r="E47" s="8">
        <v>2018.0</v>
      </c>
    </row>
    <row r="48" hidden="1">
      <c r="A48" s="1" t="s">
        <v>516</v>
      </c>
      <c r="B48" s="1" t="s">
        <v>2227</v>
      </c>
      <c r="D48" s="8" t="s">
        <v>2199</v>
      </c>
      <c r="E48" s="8">
        <v>2018.0</v>
      </c>
    </row>
    <row r="49" hidden="1">
      <c r="A49" s="1" t="s">
        <v>1595</v>
      </c>
      <c r="B49" s="1" t="s">
        <v>2228</v>
      </c>
      <c r="D49" s="8" t="s">
        <v>2199</v>
      </c>
      <c r="E49" s="8">
        <v>2020.0</v>
      </c>
    </row>
    <row r="50" hidden="1">
      <c r="A50" s="23" t="s">
        <v>2024</v>
      </c>
      <c r="B50" s="1" t="s">
        <v>2228</v>
      </c>
      <c r="D50" s="8" t="s">
        <v>2199</v>
      </c>
      <c r="E50" s="8">
        <v>2020.0</v>
      </c>
    </row>
    <row r="51" hidden="1">
      <c r="A51" s="1" t="s">
        <v>1057</v>
      </c>
      <c r="B51" s="1" t="s">
        <v>2228</v>
      </c>
      <c r="D51" s="8" t="s">
        <v>2199</v>
      </c>
      <c r="E51" s="8">
        <v>2020.0</v>
      </c>
    </row>
    <row r="52" hidden="1">
      <c r="A52" s="1" t="s">
        <v>2147</v>
      </c>
      <c r="B52" s="1" t="s">
        <v>2228</v>
      </c>
      <c r="D52" s="8" t="s">
        <v>2199</v>
      </c>
      <c r="E52" s="8">
        <v>2020.0</v>
      </c>
    </row>
    <row r="53" hidden="1">
      <c r="A53" s="1" t="s">
        <v>189</v>
      </c>
      <c r="B53" s="1" t="s">
        <v>2228</v>
      </c>
      <c r="D53" s="8" t="s">
        <v>2199</v>
      </c>
      <c r="E53" s="8">
        <v>2020.0</v>
      </c>
    </row>
    <row r="54" hidden="1">
      <c r="A54" s="1" t="s">
        <v>1520</v>
      </c>
      <c r="B54" s="1" t="s">
        <v>2229</v>
      </c>
      <c r="D54" s="8" t="s">
        <v>2200</v>
      </c>
      <c r="E54" s="8">
        <v>2019.0</v>
      </c>
    </row>
    <row r="55" hidden="1">
      <c r="A55" s="23" t="s">
        <v>1997</v>
      </c>
      <c r="B55" s="1" t="s">
        <v>2229</v>
      </c>
      <c r="D55" s="8" t="s">
        <v>2200</v>
      </c>
      <c r="E55" s="8">
        <v>2019.0</v>
      </c>
    </row>
    <row r="56" hidden="1">
      <c r="A56" s="1" t="s">
        <v>284</v>
      </c>
      <c r="B56" s="1" t="s">
        <v>2229</v>
      </c>
      <c r="D56" s="8" t="s">
        <v>2200</v>
      </c>
      <c r="E56" s="8">
        <v>2019.0</v>
      </c>
    </row>
    <row r="57" hidden="1">
      <c r="A57" s="1" t="s">
        <v>1181</v>
      </c>
      <c r="B57" s="1" t="s">
        <v>2230</v>
      </c>
      <c r="D57" s="8" t="s">
        <v>2200</v>
      </c>
      <c r="E57" s="8">
        <v>2020.0</v>
      </c>
    </row>
    <row r="58" hidden="1">
      <c r="A58" s="1" t="s">
        <v>256</v>
      </c>
      <c r="B58" s="1" t="s">
        <v>2230</v>
      </c>
      <c r="D58" s="8" t="s">
        <v>2200</v>
      </c>
      <c r="E58" s="8">
        <v>2020.0</v>
      </c>
    </row>
    <row r="59" hidden="1">
      <c r="A59" s="1" t="s">
        <v>1362</v>
      </c>
      <c r="B59" s="1" t="s">
        <v>2230</v>
      </c>
      <c r="D59" s="8" t="s">
        <v>2200</v>
      </c>
      <c r="E59" s="8">
        <v>2020.0</v>
      </c>
    </row>
    <row r="60" hidden="1">
      <c r="A60" s="27" t="s">
        <v>799</v>
      </c>
      <c r="B60" s="1" t="s">
        <v>2230</v>
      </c>
      <c r="D60" s="8" t="s">
        <v>2200</v>
      </c>
      <c r="E60" s="8">
        <v>2020.0</v>
      </c>
    </row>
    <row r="61" hidden="1">
      <c r="A61" s="1" t="s">
        <v>1288</v>
      </c>
      <c r="B61" s="1" t="s">
        <v>2230</v>
      </c>
      <c r="D61" s="8" t="s">
        <v>2200</v>
      </c>
      <c r="E61" s="8">
        <v>2020.0</v>
      </c>
    </row>
    <row r="62" hidden="1">
      <c r="A62" s="27" t="s">
        <v>722</v>
      </c>
      <c r="B62" s="1" t="s">
        <v>2230</v>
      </c>
      <c r="D62" s="8" t="s">
        <v>2200</v>
      </c>
      <c r="E62" s="8">
        <v>2020.0</v>
      </c>
    </row>
    <row r="63" hidden="1">
      <c r="A63" s="1" t="s">
        <v>378</v>
      </c>
      <c r="B63" s="1" t="s">
        <v>2230</v>
      </c>
      <c r="D63" s="8" t="s">
        <v>2200</v>
      </c>
      <c r="E63" s="8">
        <v>2020.0</v>
      </c>
    </row>
    <row r="64" hidden="1">
      <c r="A64" s="1" t="s">
        <v>1824</v>
      </c>
      <c r="B64" s="1" t="s">
        <v>2231</v>
      </c>
      <c r="D64" s="8" t="s">
        <v>2198</v>
      </c>
      <c r="E64" s="8">
        <v>2020.0</v>
      </c>
    </row>
    <row r="65" hidden="1">
      <c r="A65" s="1" t="s">
        <v>1618</v>
      </c>
      <c r="B65" s="1" t="s">
        <v>2231</v>
      </c>
      <c r="D65" s="8" t="s">
        <v>2198</v>
      </c>
      <c r="E65" s="8">
        <v>2020.0</v>
      </c>
    </row>
    <row r="66" hidden="1">
      <c r="A66" s="1" t="s">
        <v>973</v>
      </c>
      <c r="B66" s="1" t="s">
        <v>2231</v>
      </c>
      <c r="D66" s="8" t="s">
        <v>2198</v>
      </c>
      <c r="E66" s="8">
        <v>2020.0</v>
      </c>
    </row>
    <row r="67" hidden="1">
      <c r="A67" s="1" t="s">
        <v>1712</v>
      </c>
      <c r="B67" s="1" t="s">
        <v>2231</v>
      </c>
      <c r="D67" s="8" t="s">
        <v>2198</v>
      </c>
      <c r="E67" s="8">
        <v>2020.0</v>
      </c>
    </row>
    <row r="68" hidden="1">
      <c r="A68" s="1" t="s">
        <v>369</v>
      </c>
      <c r="B68" s="1" t="s">
        <v>2231</v>
      </c>
      <c r="D68" s="8" t="s">
        <v>2198</v>
      </c>
      <c r="E68" s="8">
        <v>2020.0</v>
      </c>
    </row>
    <row r="69" hidden="1">
      <c r="A69" s="1" t="s">
        <v>542</v>
      </c>
      <c r="B69" s="1" t="s">
        <v>2232</v>
      </c>
      <c r="D69" s="8" t="s">
        <v>2200</v>
      </c>
      <c r="E69" s="8">
        <v>2021.0</v>
      </c>
    </row>
    <row r="70" hidden="1">
      <c r="A70" s="21" t="s">
        <v>514</v>
      </c>
      <c r="B70" s="1" t="s">
        <v>2232</v>
      </c>
      <c r="D70" s="8" t="s">
        <v>2200</v>
      </c>
      <c r="E70" s="8">
        <v>2021.0</v>
      </c>
    </row>
    <row r="71" hidden="1">
      <c r="A71" s="1" t="s">
        <v>1289</v>
      </c>
      <c r="B71" s="1" t="s">
        <v>2232</v>
      </c>
      <c r="D71" s="8" t="s">
        <v>2200</v>
      </c>
      <c r="E71" s="8">
        <v>2021.0</v>
      </c>
    </row>
    <row r="72" hidden="1">
      <c r="A72" s="1" t="s">
        <v>1738</v>
      </c>
      <c r="B72" s="1" t="s">
        <v>2232</v>
      </c>
      <c r="D72" s="8" t="s">
        <v>2200</v>
      </c>
      <c r="E72" s="8">
        <v>2021.0</v>
      </c>
    </row>
    <row r="73">
      <c r="A73" s="1" t="s">
        <v>1153</v>
      </c>
      <c r="B73" s="1" t="s">
        <v>2233</v>
      </c>
      <c r="D73" s="8" t="s">
        <v>2198</v>
      </c>
      <c r="E73" s="8">
        <v>2015.0</v>
      </c>
    </row>
    <row r="74">
      <c r="A74" s="1" t="s">
        <v>1798</v>
      </c>
      <c r="B74" s="1" t="s">
        <v>2212</v>
      </c>
      <c r="D74" s="8" t="s">
        <v>2198</v>
      </c>
      <c r="E74" s="8">
        <v>2015.0</v>
      </c>
    </row>
    <row r="75">
      <c r="A75" s="1" t="s">
        <v>1470</v>
      </c>
      <c r="B75" s="1" t="s">
        <v>2233</v>
      </c>
      <c r="D75" s="8" t="s">
        <v>2198</v>
      </c>
      <c r="E75" s="8">
        <v>2015.0</v>
      </c>
    </row>
  </sheetData>
  <autoFilter ref="$A$1:$Z$75">
    <filterColumn colId="4">
      <filters>
        <filter val="2015"/>
      </filters>
    </filterColumn>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4" max="4" width="21.25"/>
    <col customWidth="1" min="6" max="6" width="27.75"/>
    <col customWidth="1" min="7" max="7" width="19.63"/>
    <col customWidth="1" min="12" max="12" width="16.25"/>
    <col customWidth="1" min="13" max="13" width="19.63"/>
    <col customWidth="1" min="15" max="15" width="16.38"/>
  </cols>
  <sheetData>
    <row r="1">
      <c r="A1" s="1" t="s">
        <v>0</v>
      </c>
      <c r="B1" s="1" t="s">
        <v>2234</v>
      </c>
      <c r="C1" s="14" t="s">
        <v>2235</v>
      </c>
      <c r="D1" s="3" t="s">
        <v>2</v>
      </c>
      <c r="E1" s="4" t="s">
        <v>3</v>
      </c>
      <c r="F1" s="37" t="s">
        <v>4</v>
      </c>
      <c r="G1" s="6" t="s">
        <v>5</v>
      </c>
      <c r="H1" s="38" t="s">
        <v>6</v>
      </c>
      <c r="I1" s="38" t="s">
        <v>7</v>
      </c>
      <c r="K1" s="39"/>
      <c r="L1" s="2" t="s">
        <v>1</v>
      </c>
      <c r="M1" s="3" t="s">
        <v>2</v>
      </c>
      <c r="N1" s="4" t="s">
        <v>3</v>
      </c>
      <c r="O1" s="37" t="s">
        <v>4</v>
      </c>
      <c r="P1" s="6" t="s">
        <v>5</v>
      </c>
      <c r="Q1" s="38" t="s">
        <v>6</v>
      </c>
      <c r="R1" s="38" t="s">
        <v>7</v>
      </c>
    </row>
    <row r="2">
      <c r="A2" s="1" t="s">
        <v>8</v>
      </c>
      <c r="C2" s="1" t="s">
        <v>2236</v>
      </c>
      <c r="D2" s="1" t="s">
        <v>2237</v>
      </c>
      <c r="E2" s="1" t="s">
        <v>11</v>
      </c>
      <c r="F2" s="1" t="s">
        <v>2238</v>
      </c>
      <c r="G2" s="40" t="s">
        <v>47</v>
      </c>
      <c r="H2" s="1" t="s">
        <v>44</v>
      </c>
      <c r="I2" s="1" t="s">
        <v>15</v>
      </c>
      <c r="J2" s="1">
        <v>1.0</v>
      </c>
      <c r="K2" s="39"/>
      <c r="L2" s="2" t="s">
        <v>9</v>
      </c>
      <c r="M2" s="41" t="s">
        <v>10</v>
      </c>
      <c r="N2" s="22" t="s">
        <v>11</v>
      </c>
      <c r="O2" s="22" t="s">
        <v>12</v>
      </c>
      <c r="P2" s="22" t="s">
        <v>13</v>
      </c>
      <c r="Q2" s="22" t="s">
        <v>14</v>
      </c>
      <c r="R2" s="22" t="s">
        <v>15</v>
      </c>
    </row>
    <row r="3">
      <c r="A3" s="1" t="s">
        <v>8</v>
      </c>
      <c r="C3" s="1" t="s">
        <v>2236</v>
      </c>
      <c r="D3" s="1" t="s">
        <v>2239</v>
      </c>
      <c r="E3" s="1" t="s">
        <v>11</v>
      </c>
      <c r="F3" s="1" t="s">
        <v>2240</v>
      </c>
      <c r="G3" s="40" t="s">
        <v>47</v>
      </c>
      <c r="H3" s="1" t="s">
        <v>20</v>
      </c>
      <c r="I3" s="1" t="s">
        <v>15</v>
      </c>
      <c r="J3" s="1">
        <v>2.0</v>
      </c>
      <c r="K3" s="39"/>
      <c r="L3" s="2">
        <v>8.0</v>
      </c>
      <c r="M3" s="41" t="s">
        <v>16</v>
      </c>
      <c r="N3" s="22" t="s">
        <v>17</v>
      </c>
      <c r="O3" s="22" t="s">
        <v>18</v>
      </c>
      <c r="P3" s="22" t="s">
        <v>19</v>
      </c>
      <c r="Q3" s="22" t="s">
        <v>20</v>
      </c>
      <c r="R3" s="22" t="s">
        <v>15</v>
      </c>
    </row>
    <row r="4">
      <c r="A4" s="1" t="s">
        <v>8</v>
      </c>
      <c r="C4" s="1" t="s">
        <v>2236</v>
      </c>
      <c r="D4" s="1" t="s">
        <v>2241</v>
      </c>
      <c r="E4" s="1" t="s">
        <v>2242</v>
      </c>
      <c r="F4" s="1" t="s">
        <v>2243</v>
      </c>
      <c r="H4" s="1" t="s">
        <v>54</v>
      </c>
      <c r="I4" s="1" t="s">
        <v>15</v>
      </c>
      <c r="J4" s="1">
        <v>3.0</v>
      </c>
      <c r="K4" s="39"/>
      <c r="L4" s="2" t="s">
        <v>266</v>
      </c>
      <c r="M4" s="41" t="s">
        <v>16</v>
      </c>
      <c r="N4" s="22" t="s">
        <v>21</v>
      </c>
      <c r="O4" s="22" t="s">
        <v>2244</v>
      </c>
      <c r="P4" s="22" t="s">
        <v>23</v>
      </c>
      <c r="Q4" s="22" t="s">
        <v>20</v>
      </c>
      <c r="R4" s="22" t="s">
        <v>15</v>
      </c>
    </row>
    <row r="5">
      <c r="A5" s="1" t="s">
        <v>8</v>
      </c>
      <c r="C5" s="1" t="s">
        <v>2236</v>
      </c>
      <c r="D5" s="1" t="s">
        <v>40</v>
      </c>
      <c r="E5" s="1" t="s">
        <v>41</v>
      </c>
      <c r="F5" s="40" t="s">
        <v>42</v>
      </c>
      <c r="H5" s="1" t="s">
        <v>39</v>
      </c>
      <c r="I5" s="1" t="s">
        <v>15</v>
      </c>
      <c r="J5" s="1">
        <v>4.0</v>
      </c>
      <c r="K5" s="39"/>
      <c r="L5" s="2">
        <v>10.0</v>
      </c>
      <c r="M5" s="41" t="s">
        <v>16</v>
      </c>
      <c r="N5" s="22" t="s">
        <v>21</v>
      </c>
      <c r="O5" s="22" t="s">
        <v>22</v>
      </c>
      <c r="P5" s="22" t="s">
        <v>23</v>
      </c>
      <c r="Q5" s="22" t="s">
        <v>20</v>
      </c>
      <c r="R5" s="22" t="s">
        <v>15</v>
      </c>
    </row>
    <row r="6">
      <c r="A6" s="1" t="s">
        <v>8</v>
      </c>
      <c r="C6" s="1" t="s">
        <v>2236</v>
      </c>
      <c r="D6" s="1" t="s">
        <v>40</v>
      </c>
      <c r="E6" s="1" t="s">
        <v>2245</v>
      </c>
      <c r="F6" s="1" t="s">
        <v>2246</v>
      </c>
      <c r="G6" s="1" t="s">
        <v>434</v>
      </c>
      <c r="H6" s="1" t="s">
        <v>39</v>
      </c>
      <c r="I6" s="1" t="s">
        <v>15</v>
      </c>
      <c r="J6" s="1">
        <v>5.0</v>
      </c>
      <c r="K6" s="39"/>
      <c r="L6" s="2">
        <v>11.0</v>
      </c>
      <c r="M6" s="41" t="s">
        <v>16</v>
      </c>
      <c r="N6" s="22" t="s">
        <v>21</v>
      </c>
      <c r="O6" s="22" t="s">
        <v>24</v>
      </c>
      <c r="P6" s="22" t="s">
        <v>23</v>
      </c>
      <c r="Q6" s="22" t="s">
        <v>20</v>
      </c>
      <c r="R6" s="22" t="s">
        <v>15</v>
      </c>
    </row>
    <row r="7">
      <c r="A7" s="1" t="s">
        <v>8</v>
      </c>
      <c r="C7" s="1" t="s">
        <v>2236</v>
      </c>
      <c r="D7" s="1" t="s">
        <v>2247</v>
      </c>
      <c r="E7" s="1" t="s">
        <v>2248</v>
      </c>
      <c r="F7" s="40" t="s">
        <v>2249</v>
      </c>
      <c r="G7" s="1" t="s">
        <v>434</v>
      </c>
      <c r="H7" s="1" t="s">
        <v>39</v>
      </c>
      <c r="I7" s="1" t="s">
        <v>15</v>
      </c>
      <c r="J7" s="1">
        <v>6.0</v>
      </c>
      <c r="K7" s="39"/>
      <c r="L7" s="2" t="s">
        <v>25</v>
      </c>
      <c r="M7" s="41" t="s">
        <v>26</v>
      </c>
      <c r="N7" s="22" t="s">
        <v>27</v>
      </c>
      <c r="O7" s="41" t="s">
        <v>28</v>
      </c>
      <c r="P7" s="22" t="s">
        <v>33</v>
      </c>
      <c r="Q7" s="22" t="s">
        <v>14</v>
      </c>
      <c r="R7" s="22" t="s">
        <v>15</v>
      </c>
    </row>
    <row r="8">
      <c r="A8" s="1" t="s">
        <v>8</v>
      </c>
      <c r="C8" s="1" t="s">
        <v>2250</v>
      </c>
      <c r="D8" s="42" t="s">
        <v>10</v>
      </c>
      <c r="E8" s="43" t="s">
        <v>11</v>
      </c>
      <c r="F8" s="43" t="s">
        <v>12</v>
      </c>
      <c r="G8" s="43" t="s">
        <v>13</v>
      </c>
      <c r="H8" s="43" t="s">
        <v>14</v>
      </c>
      <c r="I8" s="43" t="s">
        <v>15</v>
      </c>
      <c r="J8" s="1">
        <v>7.0</v>
      </c>
      <c r="K8" s="39"/>
      <c r="L8" s="2">
        <v>13.0</v>
      </c>
      <c r="M8" s="41" t="s">
        <v>30</v>
      </c>
      <c r="N8" s="22" t="s">
        <v>31</v>
      </c>
      <c r="O8" s="22" t="s">
        <v>32</v>
      </c>
      <c r="P8" s="22" t="s">
        <v>33</v>
      </c>
      <c r="Q8" s="22" t="s">
        <v>20</v>
      </c>
      <c r="R8" s="22" t="s">
        <v>15</v>
      </c>
    </row>
    <row r="9">
      <c r="A9" s="1" t="s">
        <v>8</v>
      </c>
      <c r="C9" s="1" t="s">
        <v>2250</v>
      </c>
      <c r="D9" s="42" t="s">
        <v>16</v>
      </c>
      <c r="E9" s="43" t="s">
        <v>17</v>
      </c>
      <c r="F9" s="43" t="s">
        <v>18</v>
      </c>
      <c r="G9" s="43" t="s">
        <v>19</v>
      </c>
      <c r="H9" s="43" t="s">
        <v>20</v>
      </c>
      <c r="I9" s="43" t="s">
        <v>15</v>
      </c>
      <c r="J9" s="1">
        <v>8.0</v>
      </c>
      <c r="K9" s="39"/>
      <c r="L9" s="2" t="s">
        <v>34</v>
      </c>
      <c r="M9" s="41" t="s">
        <v>35</v>
      </c>
      <c r="N9" s="22" t="s">
        <v>36</v>
      </c>
      <c r="O9" s="22" t="s">
        <v>37</v>
      </c>
      <c r="P9" s="22" t="s">
        <v>38</v>
      </c>
      <c r="Q9" s="22" t="s">
        <v>39</v>
      </c>
      <c r="R9" s="22" t="s">
        <v>15</v>
      </c>
    </row>
    <row r="10">
      <c r="A10" s="1" t="s">
        <v>8</v>
      </c>
      <c r="C10" s="1" t="s">
        <v>2250</v>
      </c>
      <c r="D10" s="42" t="s">
        <v>16</v>
      </c>
      <c r="E10" s="43" t="s">
        <v>21</v>
      </c>
      <c r="F10" s="44" t="s">
        <v>2251</v>
      </c>
      <c r="G10" s="43" t="s">
        <v>23</v>
      </c>
      <c r="H10" s="43" t="s">
        <v>20</v>
      </c>
      <c r="I10" s="43" t="s">
        <v>15</v>
      </c>
      <c r="J10" s="1">
        <v>9.0</v>
      </c>
      <c r="K10" s="39"/>
      <c r="L10" s="2">
        <v>4.0</v>
      </c>
      <c r="M10" s="1" t="s">
        <v>40</v>
      </c>
      <c r="N10" s="1" t="s">
        <v>41</v>
      </c>
      <c r="O10" s="40" t="s">
        <v>42</v>
      </c>
      <c r="Q10" s="1" t="s">
        <v>39</v>
      </c>
      <c r="R10" s="1" t="s">
        <v>15</v>
      </c>
    </row>
    <row r="11">
      <c r="A11" s="1" t="s">
        <v>8</v>
      </c>
      <c r="C11" s="1" t="s">
        <v>2250</v>
      </c>
      <c r="D11" s="42" t="s">
        <v>16</v>
      </c>
      <c r="E11" s="43" t="s">
        <v>21</v>
      </c>
      <c r="F11" s="43" t="s">
        <v>22</v>
      </c>
      <c r="G11" s="43" t="s">
        <v>23</v>
      </c>
      <c r="H11" s="43" t="s">
        <v>20</v>
      </c>
      <c r="I11" s="43" t="s">
        <v>15</v>
      </c>
      <c r="J11" s="1">
        <v>10.0</v>
      </c>
      <c r="K11" s="39"/>
      <c r="L11" s="2">
        <v>2.0</v>
      </c>
      <c r="M11" s="41" t="s">
        <v>45</v>
      </c>
      <c r="N11" s="1" t="s">
        <v>11</v>
      </c>
      <c r="O11" s="1" t="s">
        <v>46</v>
      </c>
      <c r="P11" s="40" t="s">
        <v>47</v>
      </c>
      <c r="Q11" s="1" t="s">
        <v>20</v>
      </c>
      <c r="R11" s="1" t="s">
        <v>15</v>
      </c>
    </row>
    <row r="12">
      <c r="A12" s="1" t="s">
        <v>8</v>
      </c>
      <c r="C12" s="1" t="s">
        <v>2250</v>
      </c>
      <c r="D12" s="42" t="s">
        <v>16</v>
      </c>
      <c r="E12" s="43" t="s">
        <v>21</v>
      </c>
      <c r="F12" s="43" t="s">
        <v>24</v>
      </c>
      <c r="G12" s="43" t="s">
        <v>23</v>
      </c>
      <c r="H12" s="43" t="s">
        <v>20</v>
      </c>
      <c r="I12" s="43" t="s">
        <v>15</v>
      </c>
      <c r="J12" s="1">
        <v>11.0</v>
      </c>
      <c r="K12" s="39"/>
      <c r="L12" s="2">
        <v>15.0</v>
      </c>
      <c r="M12" s="41" t="s">
        <v>45</v>
      </c>
      <c r="N12" s="22" t="s">
        <v>48</v>
      </c>
      <c r="O12" s="22" t="s">
        <v>49</v>
      </c>
      <c r="P12" s="22" t="s">
        <v>50</v>
      </c>
      <c r="Q12" s="22" t="s">
        <v>54</v>
      </c>
      <c r="R12" s="22" t="s">
        <v>15</v>
      </c>
    </row>
    <row r="13">
      <c r="A13" s="1" t="s">
        <v>8</v>
      </c>
      <c r="C13" s="1" t="s">
        <v>2250</v>
      </c>
      <c r="D13" s="42" t="s">
        <v>26</v>
      </c>
      <c r="E13" s="43" t="s">
        <v>27</v>
      </c>
      <c r="F13" s="42" t="s">
        <v>28</v>
      </c>
      <c r="G13" s="43" t="s">
        <v>33</v>
      </c>
      <c r="H13" s="43" t="s">
        <v>14</v>
      </c>
      <c r="I13" s="43" t="s">
        <v>15</v>
      </c>
      <c r="J13" s="1">
        <v>12.0</v>
      </c>
      <c r="K13" s="39"/>
      <c r="L13" s="2">
        <v>16.0</v>
      </c>
      <c r="M13" s="41" t="s">
        <v>45</v>
      </c>
      <c r="N13" s="22" t="s">
        <v>51</v>
      </c>
      <c r="O13" s="22" t="s">
        <v>52</v>
      </c>
      <c r="P13" s="22" t="s">
        <v>53</v>
      </c>
      <c r="Q13" s="22" t="s">
        <v>54</v>
      </c>
      <c r="R13" s="22" t="s">
        <v>15</v>
      </c>
    </row>
    <row r="14">
      <c r="A14" s="1" t="s">
        <v>8</v>
      </c>
      <c r="C14" s="1" t="s">
        <v>2250</v>
      </c>
      <c r="D14" s="42" t="s">
        <v>30</v>
      </c>
      <c r="E14" s="43" t="s">
        <v>31</v>
      </c>
      <c r="F14" s="43" t="s">
        <v>32</v>
      </c>
      <c r="G14" s="43" t="s">
        <v>33</v>
      </c>
      <c r="H14" s="43" t="s">
        <v>20</v>
      </c>
      <c r="I14" s="43" t="s">
        <v>15</v>
      </c>
      <c r="J14" s="1">
        <v>13.0</v>
      </c>
      <c r="K14" s="39"/>
      <c r="L14" s="2">
        <v>17.0</v>
      </c>
      <c r="M14" s="41" t="s">
        <v>55</v>
      </c>
      <c r="N14" s="22" t="s">
        <v>56</v>
      </c>
      <c r="O14" s="22" t="s">
        <v>2252</v>
      </c>
      <c r="P14" s="22" t="s">
        <v>58</v>
      </c>
      <c r="Q14" s="22" t="s">
        <v>39</v>
      </c>
      <c r="R14" s="22" t="s">
        <v>15</v>
      </c>
    </row>
    <row r="15">
      <c r="A15" s="1" t="s">
        <v>8</v>
      </c>
      <c r="C15" s="1" t="s">
        <v>2250</v>
      </c>
      <c r="D15" s="42" t="s">
        <v>35</v>
      </c>
      <c r="E15" s="43" t="s">
        <v>36</v>
      </c>
      <c r="F15" s="43" t="s">
        <v>37</v>
      </c>
      <c r="G15" s="43" t="s">
        <v>38</v>
      </c>
      <c r="H15" s="43" t="s">
        <v>39</v>
      </c>
      <c r="I15" s="43" t="s">
        <v>15</v>
      </c>
      <c r="J15" s="1">
        <v>14.0</v>
      </c>
      <c r="K15" s="39"/>
      <c r="L15" s="2" t="s">
        <v>59</v>
      </c>
      <c r="M15" s="41" t="s">
        <v>60</v>
      </c>
      <c r="N15" s="22" t="s">
        <v>61</v>
      </c>
      <c r="O15" s="22" t="s">
        <v>2253</v>
      </c>
      <c r="P15" s="22" t="s">
        <v>63</v>
      </c>
      <c r="Q15" s="22" t="s">
        <v>39</v>
      </c>
      <c r="R15" s="22" t="s">
        <v>15</v>
      </c>
    </row>
    <row r="16">
      <c r="A16" s="1" t="s">
        <v>8</v>
      </c>
      <c r="C16" s="1" t="s">
        <v>2250</v>
      </c>
      <c r="D16" s="42" t="s">
        <v>45</v>
      </c>
      <c r="E16" s="43" t="s">
        <v>48</v>
      </c>
      <c r="F16" s="43" t="s">
        <v>49</v>
      </c>
      <c r="G16" s="43" t="s">
        <v>50</v>
      </c>
      <c r="H16" s="43" t="s">
        <v>54</v>
      </c>
      <c r="I16" s="43" t="s">
        <v>15</v>
      </c>
      <c r="J16" s="1">
        <v>15.0</v>
      </c>
      <c r="K16" s="39"/>
      <c r="L16" s="45"/>
    </row>
    <row r="17">
      <c r="A17" s="1" t="s">
        <v>8</v>
      </c>
      <c r="C17" s="1" t="s">
        <v>2250</v>
      </c>
      <c r="D17" s="42" t="s">
        <v>45</v>
      </c>
      <c r="E17" s="43" t="s">
        <v>51</v>
      </c>
      <c r="F17" s="43" t="s">
        <v>52</v>
      </c>
      <c r="G17" s="43" t="s">
        <v>53</v>
      </c>
      <c r="H17" s="43" t="s">
        <v>54</v>
      </c>
      <c r="I17" s="43" t="s">
        <v>15</v>
      </c>
      <c r="J17" s="1">
        <v>16.0</v>
      </c>
      <c r="K17" s="39"/>
      <c r="L17" s="45"/>
    </row>
    <row r="18">
      <c r="A18" s="1" t="s">
        <v>8</v>
      </c>
      <c r="C18" s="1" t="s">
        <v>2250</v>
      </c>
      <c r="D18" s="42" t="s">
        <v>55</v>
      </c>
      <c r="E18" s="43" t="s">
        <v>56</v>
      </c>
      <c r="F18" s="43" t="s">
        <v>2252</v>
      </c>
      <c r="G18" s="43" t="s">
        <v>58</v>
      </c>
      <c r="H18" s="43" t="s">
        <v>39</v>
      </c>
      <c r="I18" s="43" t="s">
        <v>15</v>
      </c>
      <c r="J18" s="1">
        <v>17.0</v>
      </c>
      <c r="K18" s="39"/>
      <c r="L18" s="45"/>
    </row>
    <row r="19">
      <c r="A19" s="1" t="s">
        <v>8</v>
      </c>
      <c r="C19" s="1" t="s">
        <v>2250</v>
      </c>
      <c r="D19" s="42" t="s">
        <v>60</v>
      </c>
      <c r="E19" s="43" t="s">
        <v>61</v>
      </c>
      <c r="F19" s="43" t="s">
        <v>2253</v>
      </c>
      <c r="G19" s="43" t="s">
        <v>63</v>
      </c>
      <c r="H19" s="43" t="s">
        <v>39</v>
      </c>
      <c r="I19" s="43" t="s">
        <v>15</v>
      </c>
      <c r="J19" s="1">
        <v>18.0</v>
      </c>
      <c r="K19" s="39"/>
      <c r="L19" s="45"/>
    </row>
    <row r="20">
      <c r="A20" s="46"/>
      <c r="B20" s="47"/>
      <c r="C20" s="47"/>
      <c r="D20" s="47"/>
      <c r="E20" s="47"/>
      <c r="F20" s="47"/>
      <c r="G20" s="47"/>
      <c r="H20" s="47"/>
      <c r="I20" s="47"/>
      <c r="J20" s="47"/>
      <c r="K20" s="47"/>
      <c r="L20" s="48"/>
      <c r="M20" s="47"/>
      <c r="N20" s="47"/>
      <c r="O20" s="47"/>
      <c r="P20" s="47"/>
      <c r="Q20" s="47"/>
      <c r="R20" s="47"/>
      <c r="S20" s="47"/>
      <c r="T20" s="47"/>
      <c r="U20" s="47"/>
      <c r="V20" s="47"/>
      <c r="W20" s="47"/>
      <c r="X20" s="47"/>
      <c r="Y20" s="47"/>
      <c r="Z20" s="47"/>
    </row>
    <row r="21">
      <c r="A21" s="1" t="s">
        <v>64</v>
      </c>
      <c r="C21" s="1" t="s">
        <v>2236</v>
      </c>
      <c r="D21" s="1" t="s">
        <v>2254</v>
      </c>
      <c r="E21" s="1" t="s">
        <v>2255</v>
      </c>
      <c r="F21" s="1" t="s">
        <v>2256</v>
      </c>
      <c r="G21" s="1" t="s">
        <v>2257</v>
      </c>
      <c r="H21" s="1" t="s">
        <v>44</v>
      </c>
      <c r="I21" s="1" t="s">
        <v>69</v>
      </c>
      <c r="J21" s="1">
        <v>1.0</v>
      </c>
      <c r="K21" s="39"/>
      <c r="L21" s="2">
        <v>10.0</v>
      </c>
      <c r="M21" s="1" t="s">
        <v>65</v>
      </c>
      <c r="N21" s="1" t="s">
        <v>66</v>
      </c>
      <c r="O21" s="1" t="s">
        <v>2258</v>
      </c>
      <c r="P21" s="1" t="s">
        <v>68</v>
      </c>
      <c r="Q21" s="1" t="s">
        <v>14</v>
      </c>
      <c r="R21" s="1" t="s">
        <v>69</v>
      </c>
    </row>
    <row r="22">
      <c r="A22" s="1" t="s">
        <v>64</v>
      </c>
      <c r="C22" s="1" t="s">
        <v>2236</v>
      </c>
      <c r="D22" s="1" t="s">
        <v>2259</v>
      </c>
      <c r="E22" s="1" t="s">
        <v>2260</v>
      </c>
      <c r="F22" s="1" t="s">
        <v>2261</v>
      </c>
      <c r="H22" s="1" t="s">
        <v>54</v>
      </c>
      <c r="I22" s="1" t="s">
        <v>69</v>
      </c>
      <c r="J22" s="1">
        <v>2.0</v>
      </c>
      <c r="K22" s="39"/>
      <c r="L22" s="2">
        <v>11.0</v>
      </c>
      <c r="M22" s="1" t="s">
        <v>65</v>
      </c>
      <c r="N22" s="1" t="s">
        <v>33</v>
      </c>
      <c r="O22" s="1" t="s">
        <v>70</v>
      </c>
      <c r="P22" s="1" t="s">
        <v>33</v>
      </c>
      <c r="Q22" s="1" t="s">
        <v>91</v>
      </c>
      <c r="R22" s="1" t="s">
        <v>69</v>
      </c>
    </row>
    <row r="23">
      <c r="A23" s="1" t="s">
        <v>64</v>
      </c>
      <c r="C23" s="1" t="s">
        <v>2236</v>
      </c>
      <c r="D23" s="1" t="s">
        <v>2254</v>
      </c>
      <c r="E23" s="1" t="s">
        <v>2255</v>
      </c>
      <c r="F23" s="40" t="s">
        <v>2262</v>
      </c>
      <c r="H23" s="1" t="s">
        <v>44</v>
      </c>
      <c r="I23" s="1" t="s">
        <v>69</v>
      </c>
      <c r="J23" s="1">
        <v>3.0</v>
      </c>
      <c r="K23" s="39"/>
      <c r="L23" s="2">
        <v>12.0</v>
      </c>
      <c r="M23" s="1" t="s">
        <v>65</v>
      </c>
      <c r="N23" s="1" t="s">
        <v>33</v>
      </c>
      <c r="O23" s="1" t="s">
        <v>72</v>
      </c>
      <c r="P23" s="1" t="s">
        <v>73</v>
      </c>
      <c r="Q23" s="1" t="s">
        <v>91</v>
      </c>
      <c r="R23" s="1" t="s">
        <v>69</v>
      </c>
    </row>
    <row r="24">
      <c r="A24" s="1" t="s">
        <v>64</v>
      </c>
      <c r="C24" s="1" t="s">
        <v>2236</v>
      </c>
      <c r="D24" s="1" t="s">
        <v>2263</v>
      </c>
      <c r="F24" s="1" t="s">
        <v>2264</v>
      </c>
      <c r="H24" s="1" t="s">
        <v>44</v>
      </c>
      <c r="I24" s="1" t="s">
        <v>69</v>
      </c>
      <c r="J24" s="1">
        <v>4.0</v>
      </c>
      <c r="K24" s="39"/>
      <c r="L24" s="2" t="s">
        <v>74</v>
      </c>
      <c r="M24" s="1" t="s">
        <v>75</v>
      </c>
      <c r="N24" s="1" t="s">
        <v>76</v>
      </c>
      <c r="O24" s="1" t="s">
        <v>77</v>
      </c>
      <c r="P24" s="1" t="s">
        <v>78</v>
      </c>
      <c r="Q24" s="1" t="s">
        <v>14</v>
      </c>
      <c r="R24" s="1" t="s">
        <v>69</v>
      </c>
    </row>
    <row r="25">
      <c r="A25" s="1" t="s">
        <v>64</v>
      </c>
      <c r="C25" s="1" t="s">
        <v>2236</v>
      </c>
      <c r="D25" s="1" t="s">
        <v>2265</v>
      </c>
      <c r="F25" s="1" t="s">
        <v>2266</v>
      </c>
      <c r="H25" s="1" t="s">
        <v>54</v>
      </c>
      <c r="I25" s="1" t="s">
        <v>69</v>
      </c>
      <c r="J25" s="1">
        <v>5.0</v>
      </c>
      <c r="K25" s="39"/>
      <c r="L25" s="2" t="s">
        <v>79</v>
      </c>
      <c r="M25" s="1" t="s">
        <v>75</v>
      </c>
      <c r="N25" s="1" t="s">
        <v>76</v>
      </c>
      <c r="O25" s="1" t="s">
        <v>80</v>
      </c>
      <c r="P25" s="1" t="s">
        <v>33</v>
      </c>
      <c r="Q25" s="1" t="s">
        <v>14</v>
      </c>
      <c r="R25" s="1" t="s">
        <v>69</v>
      </c>
    </row>
    <row r="26">
      <c r="A26" s="1" t="s">
        <v>64</v>
      </c>
      <c r="C26" s="1" t="s">
        <v>2236</v>
      </c>
      <c r="D26" s="1" t="s">
        <v>2267</v>
      </c>
      <c r="E26" s="1" t="s">
        <v>2268</v>
      </c>
      <c r="F26" s="1" t="s">
        <v>2269</v>
      </c>
      <c r="H26" s="1" t="s">
        <v>39</v>
      </c>
      <c r="I26" s="1" t="s">
        <v>69</v>
      </c>
      <c r="J26" s="1">
        <v>6.0</v>
      </c>
      <c r="K26" s="39"/>
      <c r="L26" s="2" t="s">
        <v>81</v>
      </c>
      <c r="M26" s="1" t="s">
        <v>75</v>
      </c>
      <c r="N26" s="1" t="s">
        <v>82</v>
      </c>
      <c r="O26" s="1" t="s">
        <v>83</v>
      </c>
      <c r="P26" s="1" t="s">
        <v>33</v>
      </c>
      <c r="Q26" s="1" t="s">
        <v>14</v>
      </c>
      <c r="R26" s="1" t="s">
        <v>69</v>
      </c>
    </row>
    <row r="27">
      <c r="A27" s="1" t="s">
        <v>64</v>
      </c>
      <c r="C27" s="1" t="s">
        <v>2236</v>
      </c>
      <c r="D27" s="1" t="s">
        <v>2270</v>
      </c>
      <c r="E27" s="1" t="s">
        <v>2245</v>
      </c>
      <c r="F27" s="1" t="s">
        <v>440</v>
      </c>
      <c r="G27" s="1" t="s">
        <v>434</v>
      </c>
      <c r="H27" s="1" t="s">
        <v>39</v>
      </c>
      <c r="I27" s="1" t="s">
        <v>69</v>
      </c>
      <c r="J27" s="1">
        <v>7.0</v>
      </c>
      <c r="K27" s="39"/>
      <c r="L27" s="2">
        <v>16.0</v>
      </c>
      <c r="M27" s="1" t="s">
        <v>75</v>
      </c>
      <c r="N27" s="1" t="s">
        <v>82</v>
      </c>
      <c r="O27" s="1" t="s">
        <v>84</v>
      </c>
      <c r="P27" s="1" t="s">
        <v>33</v>
      </c>
      <c r="Q27" s="1" t="s">
        <v>14</v>
      </c>
      <c r="R27" s="1" t="s">
        <v>69</v>
      </c>
    </row>
    <row r="28">
      <c r="A28" s="1" t="s">
        <v>64</v>
      </c>
      <c r="C28" s="1" t="s">
        <v>2236</v>
      </c>
      <c r="D28" s="1" t="s">
        <v>2270</v>
      </c>
      <c r="E28" s="1" t="s">
        <v>2245</v>
      </c>
      <c r="F28" s="1" t="s">
        <v>477</v>
      </c>
      <c r="G28" s="1" t="s">
        <v>434</v>
      </c>
      <c r="H28" s="1" t="s">
        <v>39</v>
      </c>
      <c r="I28" s="1" t="s">
        <v>69</v>
      </c>
      <c r="J28" s="1">
        <v>8.0</v>
      </c>
      <c r="K28" s="39"/>
      <c r="L28" s="2">
        <v>17.0</v>
      </c>
      <c r="M28" s="1" t="s">
        <v>75</v>
      </c>
      <c r="N28" s="1" t="s">
        <v>33</v>
      </c>
      <c r="O28" s="1" t="s">
        <v>2271</v>
      </c>
      <c r="P28" s="1" t="s">
        <v>86</v>
      </c>
      <c r="Q28" s="1" t="s">
        <v>91</v>
      </c>
      <c r="R28" s="1" t="s">
        <v>69</v>
      </c>
    </row>
    <row r="29">
      <c r="A29" s="1" t="s">
        <v>64</v>
      </c>
      <c r="C29" s="1" t="s">
        <v>2236</v>
      </c>
      <c r="D29" s="1" t="s">
        <v>2272</v>
      </c>
      <c r="E29" s="1" t="s">
        <v>2273</v>
      </c>
      <c r="F29" s="40" t="s">
        <v>2249</v>
      </c>
      <c r="G29" s="1" t="s">
        <v>434</v>
      </c>
      <c r="H29" s="1" t="s">
        <v>39</v>
      </c>
      <c r="I29" s="1" t="s">
        <v>69</v>
      </c>
      <c r="J29" s="1">
        <v>9.0</v>
      </c>
      <c r="K29" s="39"/>
      <c r="L29" s="2" t="s">
        <v>87</v>
      </c>
      <c r="M29" s="1" t="s">
        <v>88</v>
      </c>
      <c r="N29" s="1" t="s">
        <v>33</v>
      </c>
      <c r="O29" s="1" t="s">
        <v>89</v>
      </c>
      <c r="P29" s="1" t="s">
        <v>33</v>
      </c>
      <c r="Q29" s="1" t="s">
        <v>91</v>
      </c>
      <c r="R29" s="1" t="s">
        <v>69</v>
      </c>
    </row>
    <row r="30">
      <c r="A30" s="1" t="s">
        <v>64</v>
      </c>
      <c r="C30" s="1" t="s">
        <v>2250</v>
      </c>
      <c r="D30" s="1" t="s">
        <v>65</v>
      </c>
      <c r="E30" s="1" t="s">
        <v>66</v>
      </c>
      <c r="F30" s="1" t="s">
        <v>2258</v>
      </c>
      <c r="G30" s="1" t="s">
        <v>68</v>
      </c>
      <c r="H30" s="1" t="s">
        <v>14</v>
      </c>
      <c r="I30" s="1" t="s">
        <v>69</v>
      </c>
      <c r="J30" s="1">
        <v>10.0</v>
      </c>
      <c r="K30" s="39"/>
      <c r="L30" s="2" t="s">
        <v>92</v>
      </c>
      <c r="M30" s="1" t="s">
        <v>93</v>
      </c>
      <c r="N30" s="1" t="s">
        <v>33</v>
      </c>
      <c r="O30" s="1" t="s">
        <v>94</v>
      </c>
      <c r="P30" s="1" t="s">
        <v>33</v>
      </c>
      <c r="Q30" s="1" t="s">
        <v>91</v>
      </c>
      <c r="R30" s="1" t="s">
        <v>69</v>
      </c>
    </row>
    <row r="31">
      <c r="A31" s="1" t="s">
        <v>64</v>
      </c>
      <c r="C31" s="1" t="s">
        <v>2250</v>
      </c>
      <c r="D31" s="1" t="s">
        <v>65</v>
      </c>
      <c r="E31" s="1" t="s">
        <v>33</v>
      </c>
      <c r="F31" s="1" t="s">
        <v>70</v>
      </c>
      <c r="G31" s="1" t="s">
        <v>33</v>
      </c>
      <c r="H31" s="1" t="s">
        <v>91</v>
      </c>
      <c r="I31" s="1" t="s">
        <v>69</v>
      </c>
      <c r="J31" s="1">
        <v>11.0</v>
      </c>
      <c r="K31" s="39"/>
      <c r="L31" s="2" t="s">
        <v>95</v>
      </c>
      <c r="M31" s="1" t="s">
        <v>96</v>
      </c>
      <c r="N31" s="1" t="s">
        <v>33</v>
      </c>
      <c r="O31" s="1" t="s">
        <v>97</v>
      </c>
      <c r="P31" s="1" t="s">
        <v>33</v>
      </c>
      <c r="Q31" s="1" t="s">
        <v>44</v>
      </c>
      <c r="R31" s="1" t="s">
        <v>69</v>
      </c>
    </row>
    <row r="32">
      <c r="A32" s="1" t="s">
        <v>64</v>
      </c>
      <c r="C32" s="1" t="s">
        <v>2250</v>
      </c>
      <c r="D32" s="1" t="s">
        <v>65</v>
      </c>
      <c r="E32" s="1" t="s">
        <v>33</v>
      </c>
      <c r="F32" s="1" t="s">
        <v>72</v>
      </c>
      <c r="G32" s="1" t="s">
        <v>73</v>
      </c>
      <c r="H32" s="1" t="s">
        <v>91</v>
      </c>
      <c r="I32" s="1" t="s">
        <v>69</v>
      </c>
      <c r="J32" s="1">
        <v>12.0</v>
      </c>
      <c r="K32" s="39"/>
      <c r="L32" s="2">
        <v>21.0</v>
      </c>
      <c r="M32" s="1" t="s">
        <v>96</v>
      </c>
      <c r="N32" s="1" t="s">
        <v>100</v>
      </c>
      <c r="O32" s="1" t="s">
        <v>101</v>
      </c>
      <c r="P32" s="1" t="s">
        <v>33</v>
      </c>
      <c r="Q32" s="1" t="s">
        <v>44</v>
      </c>
      <c r="R32" s="1" t="s">
        <v>69</v>
      </c>
    </row>
    <row r="33">
      <c r="A33" s="1" t="s">
        <v>64</v>
      </c>
      <c r="C33" s="1" t="s">
        <v>2250</v>
      </c>
      <c r="D33" s="1" t="s">
        <v>75</v>
      </c>
      <c r="E33" s="1" t="s">
        <v>76</v>
      </c>
      <c r="F33" s="1" t="s">
        <v>77</v>
      </c>
      <c r="G33" s="1" t="s">
        <v>78</v>
      </c>
      <c r="H33" s="1" t="s">
        <v>14</v>
      </c>
      <c r="I33" s="1" t="s">
        <v>69</v>
      </c>
      <c r="J33" s="1">
        <v>13.0</v>
      </c>
      <c r="K33" s="39"/>
      <c r="L33" s="2">
        <v>22.0</v>
      </c>
      <c r="M33" s="1" t="s">
        <v>96</v>
      </c>
      <c r="N33" s="1" t="s">
        <v>103</v>
      </c>
      <c r="O33" s="1" t="s">
        <v>104</v>
      </c>
      <c r="P33" s="1" t="s">
        <v>105</v>
      </c>
      <c r="Q33" s="1" t="s">
        <v>106</v>
      </c>
      <c r="R33" s="1" t="s">
        <v>69</v>
      </c>
    </row>
    <row r="34">
      <c r="A34" s="17" t="s">
        <v>64</v>
      </c>
      <c r="C34" s="1" t="s">
        <v>2250</v>
      </c>
      <c r="D34" s="1" t="s">
        <v>75</v>
      </c>
      <c r="E34" s="1" t="s">
        <v>76</v>
      </c>
      <c r="F34" s="1" t="s">
        <v>80</v>
      </c>
      <c r="G34" s="1" t="s">
        <v>33</v>
      </c>
      <c r="H34" s="1" t="s">
        <v>14</v>
      </c>
      <c r="I34" s="1" t="s">
        <v>69</v>
      </c>
      <c r="J34" s="1">
        <v>14.0</v>
      </c>
      <c r="K34" s="39"/>
      <c r="L34" s="2" t="s">
        <v>107</v>
      </c>
      <c r="M34" s="1" t="s">
        <v>108</v>
      </c>
      <c r="N34" s="1" t="s">
        <v>109</v>
      </c>
      <c r="O34" s="1" t="s">
        <v>110</v>
      </c>
      <c r="P34" s="1" t="s">
        <v>111</v>
      </c>
      <c r="Q34" s="1" t="s">
        <v>54</v>
      </c>
      <c r="R34" s="1" t="s">
        <v>69</v>
      </c>
    </row>
    <row r="35">
      <c r="A35" s="17" t="s">
        <v>64</v>
      </c>
      <c r="C35" s="1" t="s">
        <v>2250</v>
      </c>
      <c r="D35" s="1" t="s">
        <v>75</v>
      </c>
      <c r="E35" s="1" t="s">
        <v>82</v>
      </c>
      <c r="F35" s="1" t="s">
        <v>83</v>
      </c>
      <c r="G35" s="1" t="s">
        <v>33</v>
      </c>
      <c r="H35" s="1" t="s">
        <v>14</v>
      </c>
      <c r="I35" s="1" t="s">
        <v>69</v>
      </c>
      <c r="J35" s="1">
        <v>15.0</v>
      </c>
      <c r="K35" s="39"/>
      <c r="L35" s="2" t="s">
        <v>232</v>
      </c>
      <c r="M35" s="1" t="s">
        <v>113</v>
      </c>
      <c r="N35" s="1" t="s">
        <v>114</v>
      </c>
      <c r="O35" s="1" t="s">
        <v>2274</v>
      </c>
      <c r="P35" s="1" t="s">
        <v>116</v>
      </c>
      <c r="Q35" s="1" t="s">
        <v>39</v>
      </c>
      <c r="R35" s="1" t="s">
        <v>69</v>
      </c>
    </row>
    <row r="36">
      <c r="A36" s="17" t="s">
        <v>64</v>
      </c>
      <c r="C36" s="1" t="s">
        <v>2250</v>
      </c>
      <c r="D36" s="1" t="s">
        <v>75</v>
      </c>
      <c r="E36" s="1" t="s">
        <v>82</v>
      </c>
      <c r="F36" s="1" t="s">
        <v>84</v>
      </c>
      <c r="G36" s="1" t="s">
        <v>33</v>
      </c>
      <c r="H36" s="1" t="s">
        <v>14</v>
      </c>
      <c r="I36" s="1" t="s">
        <v>69</v>
      </c>
      <c r="J36" s="1">
        <v>16.0</v>
      </c>
      <c r="K36" s="39"/>
      <c r="L36" s="2" t="s">
        <v>1933</v>
      </c>
      <c r="M36" s="1" t="s">
        <v>113</v>
      </c>
      <c r="N36" s="1" t="s">
        <v>114</v>
      </c>
      <c r="O36" s="1" t="s">
        <v>2275</v>
      </c>
      <c r="P36" s="1" t="s">
        <v>2276</v>
      </c>
      <c r="Q36" s="1" t="s">
        <v>39</v>
      </c>
      <c r="R36" s="1" t="s">
        <v>69</v>
      </c>
    </row>
    <row r="37">
      <c r="A37" s="17" t="s">
        <v>64</v>
      </c>
      <c r="C37" s="1" t="s">
        <v>2250</v>
      </c>
      <c r="D37" s="1" t="s">
        <v>75</v>
      </c>
      <c r="E37" s="1" t="s">
        <v>33</v>
      </c>
      <c r="F37" s="1" t="s">
        <v>2271</v>
      </c>
      <c r="G37" s="1" t="s">
        <v>86</v>
      </c>
      <c r="H37" s="1" t="s">
        <v>91</v>
      </c>
      <c r="I37" s="1" t="s">
        <v>69</v>
      </c>
      <c r="J37" s="1">
        <v>17.0</v>
      </c>
      <c r="K37" s="39"/>
      <c r="L37" s="2" t="s">
        <v>117</v>
      </c>
      <c r="M37" s="1" t="s">
        <v>118</v>
      </c>
      <c r="N37" s="1" t="s">
        <v>119</v>
      </c>
      <c r="O37" s="1" t="s">
        <v>120</v>
      </c>
      <c r="P37" s="1" t="s">
        <v>121</v>
      </c>
      <c r="Q37" s="1" t="s">
        <v>39</v>
      </c>
      <c r="R37" s="1" t="s">
        <v>69</v>
      </c>
    </row>
    <row r="38">
      <c r="A38" s="17" t="s">
        <v>64</v>
      </c>
      <c r="C38" s="1" t="s">
        <v>2250</v>
      </c>
      <c r="D38" s="1" t="s">
        <v>88</v>
      </c>
      <c r="E38" s="1" t="s">
        <v>33</v>
      </c>
      <c r="F38" s="1" t="s">
        <v>89</v>
      </c>
      <c r="G38" s="1" t="s">
        <v>33</v>
      </c>
      <c r="H38" s="1" t="s">
        <v>91</v>
      </c>
      <c r="I38" s="1" t="s">
        <v>69</v>
      </c>
      <c r="J38" s="1">
        <v>18.0</v>
      </c>
      <c r="K38" s="39"/>
      <c r="L38" s="2">
        <v>27.0</v>
      </c>
      <c r="M38" s="1" t="s">
        <v>118</v>
      </c>
      <c r="N38" s="1" t="s">
        <v>122</v>
      </c>
      <c r="O38" s="1" t="s">
        <v>123</v>
      </c>
      <c r="P38" s="1" t="s">
        <v>124</v>
      </c>
      <c r="Q38" s="1" t="s">
        <v>39</v>
      </c>
      <c r="R38" s="1" t="s">
        <v>69</v>
      </c>
    </row>
    <row r="39">
      <c r="A39" s="17" t="s">
        <v>64</v>
      </c>
      <c r="C39" s="1" t="s">
        <v>2250</v>
      </c>
      <c r="D39" s="1" t="s">
        <v>93</v>
      </c>
      <c r="E39" s="1" t="s">
        <v>33</v>
      </c>
      <c r="F39" s="1" t="s">
        <v>94</v>
      </c>
      <c r="G39" s="1" t="s">
        <v>33</v>
      </c>
      <c r="H39" s="1" t="s">
        <v>91</v>
      </c>
      <c r="I39" s="1" t="s">
        <v>69</v>
      </c>
      <c r="J39" s="1">
        <v>19.0</v>
      </c>
      <c r="K39" s="39"/>
      <c r="L39" s="2">
        <v>28.0</v>
      </c>
      <c r="M39" s="1" t="s">
        <v>118</v>
      </c>
      <c r="N39" s="1" t="s">
        <v>125</v>
      </c>
      <c r="O39" s="1" t="s">
        <v>126</v>
      </c>
      <c r="P39" s="1" t="s">
        <v>127</v>
      </c>
      <c r="Q39" s="1" t="s">
        <v>39</v>
      </c>
      <c r="R39" s="1" t="s">
        <v>69</v>
      </c>
    </row>
    <row r="40">
      <c r="A40" s="17" t="s">
        <v>64</v>
      </c>
      <c r="C40" s="1" t="s">
        <v>2250</v>
      </c>
      <c r="D40" s="1" t="s">
        <v>96</v>
      </c>
      <c r="E40" s="1" t="s">
        <v>33</v>
      </c>
      <c r="F40" s="1" t="s">
        <v>97</v>
      </c>
      <c r="G40" s="1" t="s">
        <v>33</v>
      </c>
      <c r="H40" s="1" t="s">
        <v>44</v>
      </c>
      <c r="I40" s="1" t="s">
        <v>69</v>
      </c>
      <c r="J40" s="1">
        <v>20.0</v>
      </c>
      <c r="K40" s="39"/>
      <c r="L40" s="45"/>
    </row>
    <row r="41">
      <c r="A41" s="17" t="s">
        <v>64</v>
      </c>
      <c r="C41" s="1" t="s">
        <v>2250</v>
      </c>
      <c r="D41" s="1" t="s">
        <v>96</v>
      </c>
      <c r="E41" s="1" t="s">
        <v>100</v>
      </c>
      <c r="F41" s="1" t="s">
        <v>101</v>
      </c>
      <c r="G41" s="1" t="s">
        <v>33</v>
      </c>
      <c r="H41" s="1" t="s">
        <v>44</v>
      </c>
      <c r="I41" s="1" t="s">
        <v>69</v>
      </c>
      <c r="J41" s="1">
        <v>21.0</v>
      </c>
      <c r="K41" s="39"/>
      <c r="L41" s="45"/>
    </row>
    <row r="42">
      <c r="A42" s="17" t="s">
        <v>64</v>
      </c>
      <c r="C42" s="1" t="s">
        <v>2250</v>
      </c>
      <c r="D42" s="1" t="s">
        <v>96</v>
      </c>
      <c r="E42" s="1" t="s">
        <v>103</v>
      </c>
      <c r="F42" s="1" t="s">
        <v>104</v>
      </c>
      <c r="G42" s="1" t="s">
        <v>105</v>
      </c>
      <c r="H42" s="1" t="s">
        <v>106</v>
      </c>
      <c r="I42" s="1" t="s">
        <v>69</v>
      </c>
      <c r="J42" s="1">
        <v>22.0</v>
      </c>
      <c r="K42" s="39"/>
      <c r="L42" s="45"/>
    </row>
    <row r="43">
      <c r="A43" s="17" t="s">
        <v>64</v>
      </c>
      <c r="C43" s="1" t="s">
        <v>2250</v>
      </c>
      <c r="D43" s="1" t="s">
        <v>108</v>
      </c>
      <c r="E43" s="1" t="s">
        <v>109</v>
      </c>
      <c r="F43" s="1" t="s">
        <v>110</v>
      </c>
      <c r="G43" s="1" t="s">
        <v>111</v>
      </c>
      <c r="H43" s="1" t="s">
        <v>54</v>
      </c>
      <c r="I43" s="1" t="s">
        <v>69</v>
      </c>
      <c r="J43" s="1">
        <v>23.0</v>
      </c>
      <c r="K43" s="39"/>
      <c r="L43" s="45"/>
    </row>
    <row r="44">
      <c r="A44" s="17" t="s">
        <v>64</v>
      </c>
      <c r="C44" s="1" t="s">
        <v>2250</v>
      </c>
      <c r="D44" s="1" t="s">
        <v>113</v>
      </c>
      <c r="E44" s="1" t="s">
        <v>114</v>
      </c>
      <c r="F44" s="1" t="s">
        <v>2274</v>
      </c>
      <c r="G44" s="1" t="s">
        <v>116</v>
      </c>
      <c r="H44" s="1" t="s">
        <v>39</v>
      </c>
      <c r="I44" s="1" t="s">
        <v>69</v>
      </c>
      <c r="J44" s="1">
        <v>24.0</v>
      </c>
      <c r="K44" s="39"/>
      <c r="L44" s="45"/>
    </row>
    <row r="45">
      <c r="A45" s="17" t="s">
        <v>64</v>
      </c>
      <c r="C45" s="1" t="s">
        <v>2250</v>
      </c>
      <c r="D45" s="1" t="s">
        <v>113</v>
      </c>
      <c r="E45" s="1" t="s">
        <v>114</v>
      </c>
      <c r="F45" s="1" t="s">
        <v>2275</v>
      </c>
      <c r="G45" s="1" t="s">
        <v>2276</v>
      </c>
      <c r="H45" s="1" t="s">
        <v>39</v>
      </c>
      <c r="I45" s="1" t="s">
        <v>69</v>
      </c>
      <c r="J45" s="1">
        <v>25.0</v>
      </c>
      <c r="K45" s="39"/>
      <c r="L45" s="45"/>
    </row>
    <row r="46">
      <c r="A46" s="17" t="s">
        <v>64</v>
      </c>
      <c r="C46" s="1" t="s">
        <v>2250</v>
      </c>
      <c r="D46" s="1" t="s">
        <v>118</v>
      </c>
      <c r="E46" s="1" t="s">
        <v>119</v>
      </c>
      <c r="F46" s="1" t="s">
        <v>120</v>
      </c>
      <c r="G46" s="1" t="s">
        <v>121</v>
      </c>
      <c r="H46" s="1" t="s">
        <v>39</v>
      </c>
      <c r="I46" s="1" t="s">
        <v>69</v>
      </c>
      <c r="J46" s="1">
        <v>26.0</v>
      </c>
      <c r="K46" s="39"/>
      <c r="L46" s="45"/>
    </row>
    <row r="47">
      <c r="A47" s="17" t="s">
        <v>64</v>
      </c>
      <c r="C47" s="1" t="s">
        <v>2250</v>
      </c>
      <c r="D47" s="1" t="s">
        <v>118</v>
      </c>
      <c r="E47" s="1" t="s">
        <v>122</v>
      </c>
      <c r="F47" s="1" t="s">
        <v>123</v>
      </c>
      <c r="G47" s="1" t="s">
        <v>124</v>
      </c>
      <c r="H47" s="1" t="s">
        <v>39</v>
      </c>
      <c r="I47" s="1" t="s">
        <v>69</v>
      </c>
      <c r="J47" s="1">
        <v>27.0</v>
      </c>
      <c r="K47" s="39"/>
      <c r="L47" s="45"/>
    </row>
    <row r="48">
      <c r="A48" s="22" t="s">
        <v>64</v>
      </c>
      <c r="C48" s="1" t="s">
        <v>2250</v>
      </c>
      <c r="D48" s="1" t="s">
        <v>118</v>
      </c>
      <c r="E48" s="1" t="s">
        <v>125</v>
      </c>
      <c r="F48" s="1" t="s">
        <v>126</v>
      </c>
      <c r="G48" s="1" t="s">
        <v>127</v>
      </c>
      <c r="H48" s="1" t="s">
        <v>39</v>
      </c>
      <c r="I48" s="1" t="s">
        <v>69</v>
      </c>
      <c r="J48" s="1">
        <v>28.0</v>
      </c>
      <c r="K48" s="39"/>
      <c r="L48" s="45"/>
    </row>
    <row r="49">
      <c r="A49" s="47"/>
      <c r="B49" s="47"/>
      <c r="C49" s="47"/>
      <c r="D49" s="47"/>
      <c r="E49" s="47"/>
      <c r="F49" s="47"/>
      <c r="G49" s="47"/>
      <c r="H49" s="47"/>
      <c r="I49" s="47"/>
      <c r="J49" s="47"/>
      <c r="K49" s="47"/>
      <c r="L49" s="48"/>
      <c r="M49" s="47"/>
      <c r="N49" s="47"/>
      <c r="O49" s="47"/>
      <c r="P49" s="47"/>
      <c r="Q49" s="47"/>
      <c r="R49" s="47"/>
      <c r="S49" s="47"/>
      <c r="T49" s="47"/>
      <c r="U49" s="47"/>
      <c r="V49" s="47"/>
      <c r="W49" s="47"/>
      <c r="X49" s="47"/>
      <c r="Y49" s="47"/>
      <c r="Z49" s="47"/>
    </row>
    <row r="50">
      <c r="A50" s="18" t="s">
        <v>128</v>
      </c>
      <c r="C50" s="1" t="s">
        <v>2277</v>
      </c>
      <c r="D50" s="49" t="s">
        <v>2278</v>
      </c>
      <c r="E50" s="17" t="s">
        <v>2279</v>
      </c>
      <c r="F50" s="17" t="s">
        <v>2280</v>
      </c>
      <c r="G50" s="22" t="s">
        <v>2281</v>
      </c>
      <c r="H50" s="17" t="s">
        <v>14</v>
      </c>
      <c r="I50" s="17" t="s">
        <v>15</v>
      </c>
      <c r="J50" s="1">
        <v>1.0</v>
      </c>
      <c r="K50" s="39"/>
      <c r="L50" s="50">
        <v>40575.0</v>
      </c>
      <c r="M50" s="1" t="s">
        <v>129</v>
      </c>
      <c r="N50" s="1" t="s">
        <v>27</v>
      </c>
      <c r="O50" s="1" t="s">
        <v>130</v>
      </c>
      <c r="P50" s="1" t="s">
        <v>131</v>
      </c>
      <c r="Q50" s="1" t="s">
        <v>14</v>
      </c>
      <c r="R50" s="1" t="s">
        <v>15</v>
      </c>
    </row>
    <row r="51">
      <c r="A51" s="18" t="s">
        <v>128</v>
      </c>
      <c r="C51" s="1" t="s">
        <v>2277</v>
      </c>
      <c r="D51" s="22" t="s">
        <v>2282</v>
      </c>
      <c r="E51" s="22" t="s">
        <v>2283</v>
      </c>
      <c r="F51" s="22" t="s">
        <v>2280</v>
      </c>
      <c r="G51" s="22" t="s">
        <v>2284</v>
      </c>
      <c r="H51" s="22" t="s">
        <v>14</v>
      </c>
      <c r="I51" s="22" t="s">
        <v>15</v>
      </c>
      <c r="J51" s="1">
        <v>2.0</v>
      </c>
      <c r="K51" s="39"/>
      <c r="L51" s="1">
        <v>12.0</v>
      </c>
      <c r="M51" s="1" t="s">
        <v>132</v>
      </c>
      <c r="N51" s="1" t="s">
        <v>133</v>
      </c>
      <c r="O51" s="1" t="s">
        <v>134</v>
      </c>
      <c r="P51" s="1" t="s">
        <v>135</v>
      </c>
      <c r="Q51" s="1" t="s">
        <v>14</v>
      </c>
      <c r="R51" s="1" t="s">
        <v>15</v>
      </c>
    </row>
    <row r="52">
      <c r="A52" s="18" t="s">
        <v>128</v>
      </c>
      <c r="C52" s="1" t="s">
        <v>2277</v>
      </c>
      <c r="D52" s="22" t="s">
        <v>2285</v>
      </c>
      <c r="E52" s="22" t="s">
        <v>2286</v>
      </c>
      <c r="F52" s="22" t="s">
        <v>2287</v>
      </c>
      <c r="G52" s="22" t="s">
        <v>2288</v>
      </c>
      <c r="H52" s="22" t="s">
        <v>54</v>
      </c>
      <c r="I52" s="22" t="s">
        <v>15</v>
      </c>
      <c r="J52" s="1">
        <v>3.0</v>
      </c>
      <c r="K52" s="39"/>
      <c r="L52" s="1">
        <v>13.0</v>
      </c>
      <c r="M52" s="1" t="s">
        <v>132</v>
      </c>
      <c r="N52" s="1" t="s">
        <v>136</v>
      </c>
      <c r="O52" s="1" t="s">
        <v>137</v>
      </c>
      <c r="P52" s="1" t="s">
        <v>135</v>
      </c>
      <c r="Q52" s="1" t="s">
        <v>20</v>
      </c>
      <c r="R52" s="1" t="s">
        <v>15</v>
      </c>
    </row>
    <row r="53">
      <c r="A53" s="18" t="s">
        <v>128</v>
      </c>
      <c r="C53" s="1" t="s">
        <v>2277</v>
      </c>
      <c r="D53" s="22" t="s">
        <v>2282</v>
      </c>
      <c r="E53" s="22" t="s">
        <v>2286</v>
      </c>
      <c r="F53" s="22" t="s">
        <v>2289</v>
      </c>
      <c r="G53" s="22" t="s">
        <v>2290</v>
      </c>
      <c r="H53" s="22" t="s">
        <v>54</v>
      </c>
      <c r="I53" s="22" t="s">
        <v>15</v>
      </c>
      <c r="J53" s="1">
        <v>4.0</v>
      </c>
      <c r="K53" s="39"/>
      <c r="L53" s="1">
        <v>14.0</v>
      </c>
      <c r="M53" s="1" t="s">
        <v>132</v>
      </c>
      <c r="N53" s="1" t="s">
        <v>136</v>
      </c>
      <c r="O53" s="1" t="s">
        <v>139</v>
      </c>
      <c r="P53" s="1" t="s">
        <v>135</v>
      </c>
      <c r="Q53" s="1" t="s">
        <v>20</v>
      </c>
      <c r="R53" s="1" t="s">
        <v>15</v>
      </c>
    </row>
    <row r="54">
      <c r="A54" s="18" t="s">
        <v>128</v>
      </c>
      <c r="C54" s="1" t="s">
        <v>2277</v>
      </c>
      <c r="D54" s="22" t="s">
        <v>2291</v>
      </c>
      <c r="E54" s="22" t="s">
        <v>2286</v>
      </c>
      <c r="F54" s="22" t="s">
        <v>2292</v>
      </c>
      <c r="G54" s="22" t="s">
        <v>2293</v>
      </c>
      <c r="H54" s="22" t="s">
        <v>54</v>
      </c>
      <c r="I54" s="22" t="s">
        <v>15</v>
      </c>
      <c r="J54" s="1">
        <v>5.0</v>
      </c>
      <c r="K54" s="39"/>
      <c r="L54" s="1">
        <v>15.0</v>
      </c>
      <c r="M54" s="1" t="s">
        <v>132</v>
      </c>
      <c r="N54" s="1" t="s">
        <v>136</v>
      </c>
      <c r="O54" s="1" t="s">
        <v>140</v>
      </c>
      <c r="P54" s="1" t="s">
        <v>135</v>
      </c>
      <c r="Q54" s="1" t="s">
        <v>20</v>
      </c>
      <c r="R54" s="1" t="s">
        <v>15</v>
      </c>
    </row>
    <row r="55">
      <c r="A55" s="18" t="s">
        <v>128</v>
      </c>
      <c r="C55" s="1" t="s">
        <v>2277</v>
      </c>
      <c r="D55" s="22" t="s">
        <v>169</v>
      </c>
      <c r="E55" s="22" t="s">
        <v>2294</v>
      </c>
      <c r="F55" s="22" t="s">
        <v>2295</v>
      </c>
      <c r="G55" s="22"/>
      <c r="H55" s="22" t="s">
        <v>39</v>
      </c>
      <c r="I55" s="22" t="s">
        <v>15</v>
      </c>
      <c r="J55" s="1">
        <v>6.0</v>
      </c>
      <c r="K55" s="39"/>
      <c r="L55" s="1">
        <v>16.0</v>
      </c>
      <c r="M55" s="1" t="s">
        <v>141</v>
      </c>
      <c r="N55" s="1" t="s">
        <v>136</v>
      </c>
      <c r="O55" s="1" t="s">
        <v>142</v>
      </c>
      <c r="P55" s="1" t="s">
        <v>135</v>
      </c>
      <c r="Q55" s="1" t="s">
        <v>20</v>
      </c>
      <c r="R55" s="1" t="s">
        <v>15</v>
      </c>
    </row>
    <row r="56">
      <c r="A56" s="18" t="s">
        <v>128</v>
      </c>
      <c r="C56" s="1" t="s">
        <v>2277</v>
      </c>
      <c r="D56" s="22" t="s">
        <v>169</v>
      </c>
      <c r="E56" s="22" t="s">
        <v>2294</v>
      </c>
      <c r="F56" s="22" t="s">
        <v>2296</v>
      </c>
      <c r="G56" s="22"/>
      <c r="H56" s="22" t="s">
        <v>39</v>
      </c>
      <c r="I56" s="22" t="s">
        <v>15</v>
      </c>
      <c r="J56" s="1">
        <v>7.0</v>
      </c>
      <c r="K56" s="39"/>
      <c r="L56" s="1">
        <v>17.0</v>
      </c>
      <c r="M56" s="1" t="s">
        <v>141</v>
      </c>
      <c r="N56" s="1" t="s">
        <v>143</v>
      </c>
      <c r="O56" s="1" t="s">
        <v>144</v>
      </c>
      <c r="P56" s="1" t="s">
        <v>145</v>
      </c>
      <c r="Q56" s="1" t="s">
        <v>20</v>
      </c>
      <c r="R56" s="1" t="s">
        <v>15</v>
      </c>
    </row>
    <row r="57">
      <c r="A57" s="18" t="s">
        <v>128</v>
      </c>
      <c r="C57" s="1" t="s">
        <v>2277</v>
      </c>
      <c r="D57" s="22" t="s">
        <v>169</v>
      </c>
      <c r="E57" s="22" t="s">
        <v>2294</v>
      </c>
      <c r="F57" s="22" t="s">
        <v>2297</v>
      </c>
      <c r="G57" s="22"/>
      <c r="H57" s="22" t="s">
        <v>39</v>
      </c>
      <c r="I57" s="22" t="s">
        <v>15</v>
      </c>
      <c r="J57" s="1">
        <v>8.0</v>
      </c>
      <c r="K57" s="39"/>
      <c r="L57" s="1">
        <v>18.0</v>
      </c>
      <c r="M57" s="1" t="s">
        <v>141</v>
      </c>
      <c r="N57" s="1" t="s">
        <v>11</v>
      </c>
      <c r="O57" s="1" t="s">
        <v>12</v>
      </c>
      <c r="P57" s="1" t="s">
        <v>146</v>
      </c>
      <c r="Q57" s="1" t="s">
        <v>14</v>
      </c>
      <c r="R57" s="1" t="s">
        <v>15</v>
      </c>
    </row>
    <row r="58">
      <c r="A58" s="18" t="s">
        <v>128</v>
      </c>
      <c r="C58" s="1" t="s">
        <v>2277</v>
      </c>
      <c r="D58" s="22" t="s">
        <v>169</v>
      </c>
      <c r="E58" s="22" t="s">
        <v>170</v>
      </c>
      <c r="F58" s="22" t="s">
        <v>171</v>
      </c>
      <c r="G58" s="22" t="s">
        <v>2298</v>
      </c>
      <c r="H58" s="22" t="s">
        <v>39</v>
      </c>
      <c r="I58" s="22" t="s">
        <v>15</v>
      </c>
      <c r="J58" s="1">
        <v>9.0</v>
      </c>
      <c r="K58" s="39"/>
      <c r="L58" s="1">
        <v>4.19</v>
      </c>
      <c r="M58" s="1" t="s">
        <v>141</v>
      </c>
      <c r="N58" s="1" t="s">
        <v>147</v>
      </c>
      <c r="O58" s="1" t="s">
        <v>148</v>
      </c>
      <c r="P58" s="1" t="s">
        <v>149</v>
      </c>
      <c r="Q58" s="1" t="s">
        <v>14</v>
      </c>
      <c r="R58" s="1" t="s">
        <v>15</v>
      </c>
    </row>
    <row r="59">
      <c r="A59" s="18" t="s">
        <v>128</v>
      </c>
      <c r="C59" s="1" t="s">
        <v>2277</v>
      </c>
      <c r="D59" s="22" t="s">
        <v>169</v>
      </c>
      <c r="E59" s="22" t="s">
        <v>170</v>
      </c>
      <c r="F59" s="22" t="s">
        <v>173</v>
      </c>
      <c r="G59" s="22"/>
      <c r="H59" s="22" t="s">
        <v>39</v>
      </c>
      <c r="I59" s="22" t="s">
        <v>15</v>
      </c>
      <c r="J59" s="1">
        <v>10.0</v>
      </c>
      <c r="K59" s="39"/>
      <c r="L59" s="1">
        <v>20.0</v>
      </c>
      <c r="M59" s="1" t="s">
        <v>150</v>
      </c>
      <c r="N59" s="1" t="s">
        <v>151</v>
      </c>
      <c r="O59" s="1" t="s">
        <v>152</v>
      </c>
      <c r="Q59" s="1" t="s">
        <v>20</v>
      </c>
      <c r="R59" s="1" t="s">
        <v>15</v>
      </c>
    </row>
    <row r="60">
      <c r="A60" s="18" t="s">
        <v>128</v>
      </c>
      <c r="C60" s="1" t="s">
        <v>2250</v>
      </c>
      <c r="D60" s="1" t="s">
        <v>129</v>
      </c>
      <c r="E60" s="1" t="s">
        <v>27</v>
      </c>
      <c r="F60" s="1" t="s">
        <v>130</v>
      </c>
      <c r="G60" s="1" t="s">
        <v>131</v>
      </c>
      <c r="H60" s="1" t="s">
        <v>14</v>
      </c>
      <c r="I60" s="1" t="s">
        <v>15</v>
      </c>
      <c r="J60" s="1">
        <v>11.0</v>
      </c>
      <c r="K60" s="39"/>
      <c r="L60" s="1">
        <v>21.0</v>
      </c>
      <c r="M60" s="1" t="s">
        <v>153</v>
      </c>
      <c r="N60" s="1" t="s">
        <v>33</v>
      </c>
      <c r="O60" s="1" t="s">
        <v>154</v>
      </c>
      <c r="Q60" s="1" t="s">
        <v>44</v>
      </c>
      <c r="R60" s="1" t="s">
        <v>15</v>
      </c>
    </row>
    <row r="61">
      <c r="A61" s="18" t="s">
        <v>128</v>
      </c>
      <c r="C61" s="1" t="s">
        <v>2250</v>
      </c>
      <c r="D61" s="1" t="s">
        <v>132</v>
      </c>
      <c r="E61" s="1" t="s">
        <v>133</v>
      </c>
      <c r="F61" s="1" t="s">
        <v>134</v>
      </c>
      <c r="G61" s="1" t="s">
        <v>135</v>
      </c>
      <c r="H61" s="1" t="s">
        <v>14</v>
      </c>
      <c r="I61" s="1" t="s">
        <v>15</v>
      </c>
      <c r="J61" s="1">
        <v>12.0</v>
      </c>
      <c r="K61" s="39"/>
      <c r="L61" s="1">
        <v>22.0</v>
      </c>
      <c r="M61" s="1" t="s">
        <v>153</v>
      </c>
      <c r="N61" s="1" t="s">
        <v>33</v>
      </c>
      <c r="O61" s="15" t="s">
        <v>2299</v>
      </c>
      <c r="Q61" s="1" t="s">
        <v>44</v>
      </c>
      <c r="R61" s="1" t="s">
        <v>15</v>
      </c>
    </row>
    <row r="62">
      <c r="A62" s="18" t="s">
        <v>128</v>
      </c>
      <c r="C62" s="1" t="s">
        <v>2250</v>
      </c>
      <c r="D62" s="1" t="s">
        <v>132</v>
      </c>
      <c r="E62" s="1" t="s">
        <v>136</v>
      </c>
      <c r="F62" s="1" t="s">
        <v>137</v>
      </c>
      <c r="G62" s="1" t="s">
        <v>135</v>
      </c>
      <c r="H62" s="1" t="s">
        <v>20</v>
      </c>
      <c r="I62" s="1" t="s">
        <v>15</v>
      </c>
      <c r="J62" s="1">
        <v>13.0</v>
      </c>
      <c r="K62" s="39"/>
      <c r="L62" s="1">
        <v>5.23</v>
      </c>
      <c r="M62" s="1" t="s">
        <v>157</v>
      </c>
      <c r="N62" s="1" t="s">
        <v>158</v>
      </c>
      <c r="O62" s="1" t="s">
        <v>159</v>
      </c>
      <c r="P62" s="1" t="s">
        <v>2300</v>
      </c>
      <c r="Q62" s="1" t="s">
        <v>54</v>
      </c>
      <c r="R62" s="1" t="s">
        <v>15</v>
      </c>
    </row>
    <row r="63">
      <c r="A63" s="18" t="s">
        <v>128</v>
      </c>
      <c r="C63" s="1" t="s">
        <v>2250</v>
      </c>
      <c r="D63" s="1" t="s">
        <v>132</v>
      </c>
      <c r="E63" s="1" t="s">
        <v>136</v>
      </c>
      <c r="F63" s="1" t="s">
        <v>139</v>
      </c>
      <c r="G63" s="1" t="s">
        <v>135</v>
      </c>
      <c r="H63" s="1" t="s">
        <v>20</v>
      </c>
      <c r="I63" s="1" t="s">
        <v>15</v>
      </c>
      <c r="J63" s="1">
        <v>14.0</v>
      </c>
      <c r="K63" s="39"/>
      <c r="L63" s="1">
        <v>24.0</v>
      </c>
      <c r="M63" s="1" t="s">
        <v>161</v>
      </c>
      <c r="N63" s="1" t="s">
        <v>162</v>
      </c>
      <c r="O63" s="1" t="s">
        <v>163</v>
      </c>
      <c r="P63" s="1" t="s">
        <v>164</v>
      </c>
      <c r="Q63" s="1" t="s">
        <v>20</v>
      </c>
      <c r="R63" s="1" t="s">
        <v>15</v>
      </c>
    </row>
    <row r="64">
      <c r="A64" s="18" t="s">
        <v>128</v>
      </c>
      <c r="C64" s="1" t="s">
        <v>2250</v>
      </c>
      <c r="D64" s="1" t="s">
        <v>132</v>
      </c>
      <c r="E64" s="1" t="s">
        <v>136</v>
      </c>
      <c r="F64" s="1" t="s">
        <v>140</v>
      </c>
      <c r="G64" s="1" t="s">
        <v>135</v>
      </c>
      <c r="H64" s="1" t="s">
        <v>20</v>
      </c>
      <c r="I64" s="1" t="s">
        <v>15</v>
      </c>
      <c r="J64" s="1">
        <v>15.0</v>
      </c>
      <c r="K64" s="39"/>
      <c r="L64" s="1">
        <v>25.0</v>
      </c>
      <c r="M64" s="1" t="s">
        <v>161</v>
      </c>
      <c r="N64" s="1" t="s">
        <v>165</v>
      </c>
      <c r="O64" s="1" t="s">
        <v>2301</v>
      </c>
      <c r="Q64" s="1" t="s">
        <v>20</v>
      </c>
      <c r="R64" s="1" t="s">
        <v>15</v>
      </c>
    </row>
    <row r="65">
      <c r="A65" s="18" t="s">
        <v>128</v>
      </c>
      <c r="C65" s="1" t="s">
        <v>2250</v>
      </c>
      <c r="D65" s="1" t="s">
        <v>141</v>
      </c>
      <c r="E65" s="1" t="s">
        <v>136</v>
      </c>
      <c r="F65" s="1" t="s">
        <v>142</v>
      </c>
      <c r="G65" s="1" t="s">
        <v>135</v>
      </c>
      <c r="H65" s="1" t="s">
        <v>20</v>
      </c>
      <c r="I65" s="1" t="s">
        <v>15</v>
      </c>
      <c r="J65" s="1">
        <v>16.0</v>
      </c>
      <c r="K65" s="39"/>
      <c r="L65" s="1">
        <v>26.0</v>
      </c>
      <c r="M65" s="1" t="s">
        <v>161</v>
      </c>
      <c r="N65" s="1" t="s">
        <v>167</v>
      </c>
      <c r="O65" s="1" t="s">
        <v>52</v>
      </c>
      <c r="P65" s="1" t="s">
        <v>168</v>
      </c>
      <c r="Q65" s="1" t="s">
        <v>54</v>
      </c>
      <c r="R65" s="1" t="s">
        <v>15</v>
      </c>
    </row>
    <row r="66">
      <c r="A66" s="18" t="s">
        <v>128</v>
      </c>
      <c r="C66" s="1" t="s">
        <v>2250</v>
      </c>
      <c r="D66" s="1" t="s">
        <v>141</v>
      </c>
      <c r="E66" s="1" t="s">
        <v>143</v>
      </c>
      <c r="F66" s="1" t="s">
        <v>144</v>
      </c>
      <c r="G66" s="1" t="s">
        <v>145</v>
      </c>
      <c r="H66" s="1" t="s">
        <v>20</v>
      </c>
      <c r="I66" s="1" t="s">
        <v>15</v>
      </c>
      <c r="J66" s="1">
        <v>17.0</v>
      </c>
      <c r="K66" s="39"/>
      <c r="L66" s="1">
        <v>9.0</v>
      </c>
      <c r="M66" s="22" t="s">
        <v>169</v>
      </c>
      <c r="N66" s="22" t="s">
        <v>170</v>
      </c>
      <c r="O66" s="22" t="s">
        <v>171</v>
      </c>
      <c r="P66" s="22" t="s">
        <v>2298</v>
      </c>
      <c r="Q66" s="22" t="s">
        <v>39</v>
      </c>
      <c r="R66" s="22" t="s">
        <v>15</v>
      </c>
    </row>
    <row r="67">
      <c r="A67" s="18" t="s">
        <v>128</v>
      </c>
      <c r="C67" s="1" t="s">
        <v>2250</v>
      </c>
      <c r="D67" s="1" t="s">
        <v>141</v>
      </c>
      <c r="E67" s="1" t="s">
        <v>11</v>
      </c>
      <c r="F67" s="1" t="s">
        <v>12</v>
      </c>
      <c r="G67" s="1" t="s">
        <v>146</v>
      </c>
      <c r="H67" s="1" t="s">
        <v>14</v>
      </c>
      <c r="I67" s="1" t="s">
        <v>15</v>
      </c>
      <c r="J67" s="1">
        <v>18.0</v>
      </c>
      <c r="K67" s="39"/>
      <c r="L67" s="1">
        <v>10.0</v>
      </c>
      <c r="M67" s="22" t="s">
        <v>169</v>
      </c>
      <c r="N67" s="22" t="s">
        <v>170</v>
      </c>
      <c r="O67" s="22" t="s">
        <v>173</v>
      </c>
      <c r="P67" s="22"/>
      <c r="Q67" s="22" t="s">
        <v>39</v>
      </c>
      <c r="R67" s="22" t="s">
        <v>15</v>
      </c>
    </row>
    <row r="68">
      <c r="A68" s="18" t="s">
        <v>128</v>
      </c>
      <c r="C68" s="1" t="s">
        <v>2250</v>
      </c>
      <c r="D68" s="1" t="s">
        <v>141</v>
      </c>
      <c r="E68" s="1" t="s">
        <v>147</v>
      </c>
      <c r="F68" s="1" t="s">
        <v>148</v>
      </c>
      <c r="G68" s="1" t="s">
        <v>149</v>
      </c>
      <c r="H68" s="1" t="s">
        <v>14</v>
      </c>
      <c r="I68" s="1" t="s">
        <v>15</v>
      </c>
      <c r="J68" s="1">
        <v>19.0</v>
      </c>
      <c r="K68" s="39"/>
      <c r="L68" s="2" t="s">
        <v>174</v>
      </c>
      <c r="M68" s="1" t="s">
        <v>161</v>
      </c>
      <c r="N68" s="1" t="s">
        <v>175</v>
      </c>
      <c r="O68" s="1" t="s">
        <v>176</v>
      </c>
      <c r="P68" s="1" t="s">
        <v>38</v>
      </c>
      <c r="Q68" s="1" t="s">
        <v>39</v>
      </c>
      <c r="R68" s="1" t="s">
        <v>15</v>
      </c>
    </row>
    <row r="69">
      <c r="A69" s="18" t="s">
        <v>128</v>
      </c>
      <c r="C69" s="1" t="s">
        <v>2250</v>
      </c>
      <c r="D69" s="1" t="s">
        <v>150</v>
      </c>
      <c r="E69" s="1" t="s">
        <v>151</v>
      </c>
      <c r="F69" s="1" t="s">
        <v>152</v>
      </c>
      <c r="H69" s="1" t="s">
        <v>20</v>
      </c>
      <c r="I69" s="1" t="s">
        <v>15</v>
      </c>
      <c r="J69" s="1">
        <v>20.0</v>
      </c>
      <c r="K69" s="39"/>
      <c r="L69" s="1">
        <v>28.0</v>
      </c>
      <c r="M69" s="1" t="s">
        <v>161</v>
      </c>
      <c r="N69" s="1" t="s">
        <v>175</v>
      </c>
      <c r="O69" s="1" t="s">
        <v>2302</v>
      </c>
      <c r="P69" s="1" t="s">
        <v>288</v>
      </c>
      <c r="Q69" s="1" t="s">
        <v>39</v>
      </c>
      <c r="R69" s="1" t="s">
        <v>15</v>
      </c>
    </row>
    <row r="70">
      <c r="A70" s="18" t="s">
        <v>128</v>
      </c>
      <c r="C70" s="1" t="s">
        <v>2250</v>
      </c>
      <c r="D70" s="1" t="s">
        <v>153</v>
      </c>
      <c r="E70" s="1" t="s">
        <v>33</v>
      </c>
      <c r="F70" s="1" t="s">
        <v>154</v>
      </c>
      <c r="H70" s="1" t="s">
        <v>44</v>
      </c>
      <c r="I70" s="1" t="s">
        <v>15</v>
      </c>
      <c r="J70" s="1">
        <v>21.0</v>
      </c>
      <c r="K70" s="39"/>
      <c r="L70" s="1">
        <v>29.0</v>
      </c>
      <c r="M70" s="1" t="s">
        <v>161</v>
      </c>
      <c r="N70" s="1" t="s">
        <v>177</v>
      </c>
      <c r="O70" s="1" t="s">
        <v>178</v>
      </c>
      <c r="P70" s="1" t="s">
        <v>63</v>
      </c>
      <c r="Q70" s="1" t="s">
        <v>39</v>
      </c>
      <c r="R70" s="1" t="s">
        <v>15</v>
      </c>
    </row>
    <row r="71">
      <c r="A71" s="18" t="s">
        <v>128</v>
      </c>
      <c r="C71" s="1" t="s">
        <v>2250</v>
      </c>
      <c r="D71" s="1" t="s">
        <v>153</v>
      </c>
      <c r="E71" s="1" t="s">
        <v>33</v>
      </c>
      <c r="F71" s="15" t="s">
        <v>2299</v>
      </c>
      <c r="H71" s="1" t="s">
        <v>44</v>
      </c>
      <c r="I71" s="1" t="s">
        <v>15</v>
      </c>
      <c r="J71" s="1">
        <v>22.0</v>
      </c>
      <c r="K71" s="39"/>
      <c r="L71" s="1">
        <v>30.0</v>
      </c>
      <c r="M71" s="1" t="s">
        <v>179</v>
      </c>
      <c r="N71" s="1" t="s">
        <v>180</v>
      </c>
      <c r="O71" s="1" t="s">
        <v>2252</v>
      </c>
      <c r="P71" s="1" t="s">
        <v>181</v>
      </c>
      <c r="Q71" s="1" t="s">
        <v>39</v>
      </c>
      <c r="R71" s="1" t="s">
        <v>15</v>
      </c>
    </row>
    <row r="72">
      <c r="A72" s="18" t="s">
        <v>128</v>
      </c>
      <c r="C72" s="1" t="s">
        <v>2250</v>
      </c>
      <c r="D72" s="1" t="s">
        <v>157</v>
      </c>
      <c r="E72" s="1" t="s">
        <v>158</v>
      </c>
      <c r="F72" s="1" t="s">
        <v>159</v>
      </c>
      <c r="G72" s="1" t="s">
        <v>2300</v>
      </c>
      <c r="H72" s="1" t="s">
        <v>54</v>
      </c>
      <c r="I72" s="1" t="s">
        <v>15</v>
      </c>
      <c r="J72" s="1">
        <v>23.0</v>
      </c>
      <c r="K72" s="39"/>
      <c r="L72" s="1">
        <v>31.0</v>
      </c>
      <c r="M72" s="1" t="s">
        <v>182</v>
      </c>
      <c r="N72" s="1" t="s">
        <v>183</v>
      </c>
      <c r="O72" s="1" t="s">
        <v>184</v>
      </c>
      <c r="P72" s="1" t="s">
        <v>185</v>
      </c>
      <c r="Q72" s="1" t="s">
        <v>39</v>
      </c>
      <c r="R72" s="1" t="s">
        <v>15</v>
      </c>
    </row>
    <row r="73">
      <c r="A73" s="18" t="s">
        <v>128</v>
      </c>
      <c r="C73" s="1" t="s">
        <v>2250</v>
      </c>
      <c r="D73" s="1" t="s">
        <v>161</v>
      </c>
      <c r="E73" s="1" t="s">
        <v>162</v>
      </c>
      <c r="F73" s="1" t="s">
        <v>163</v>
      </c>
      <c r="G73" s="1" t="s">
        <v>164</v>
      </c>
      <c r="H73" s="1" t="s">
        <v>20</v>
      </c>
      <c r="I73" s="1" t="s">
        <v>15</v>
      </c>
      <c r="J73" s="1">
        <v>24.0</v>
      </c>
      <c r="K73" s="39"/>
      <c r="L73" s="1">
        <v>32.0</v>
      </c>
      <c r="M73" s="1" t="s">
        <v>186</v>
      </c>
      <c r="N73" s="1" t="s">
        <v>187</v>
      </c>
      <c r="O73" s="1" t="s">
        <v>188</v>
      </c>
      <c r="P73" s="1" t="s">
        <v>127</v>
      </c>
      <c r="Q73" s="1" t="s">
        <v>39</v>
      </c>
      <c r="R73" s="1" t="s">
        <v>15</v>
      </c>
    </row>
    <row r="74">
      <c r="A74" s="18" t="s">
        <v>128</v>
      </c>
      <c r="C74" s="1" t="s">
        <v>2250</v>
      </c>
      <c r="D74" s="1" t="s">
        <v>161</v>
      </c>
      <c r="E74" s="1" t="s">
        <v>165</v>
      </c>
      <c r="F74" s="1" t="s">
        <v>2301</v>
      </c>
      <c r="H74" s="1" t="s">
        <v>20</v>
      </c>
      <c r="I74" s="1" t="s">
        <v>15</v>
      </c>
      <c r="J74" s="1">
        <v>25.0</v>
      </c>
      <c r="K74" s="39"/>
    </row>
    <row r="75">
      <c r="A75" s="18" t="s">
        <v>128</v>
      </c>
      <c r="C75" s="1" t="s">
        <v>2250</v>
      </c>
      <c r="D75" s="1" t="s">
        <v>161</v>
      </c>
      <c r="E75" s="1" t="s">
        <v>167</v>
      </c>
      <c r="F75" s="1" t="s">
        <v>52</v>
      </c>
      <c r="G75" s="1" t="s">
        <v>168</v>
      </c>
      <c r="H75" s="1" t="s">
        <v>54</v>
      </c>
      <c r="I75" s="1" t="s">
        <v>15</v>
      </c>
      <c r="J75" s="1">
        <v>26.0</v>
      </c>
      <c r="K75" s="39"/>
    </row>
    <row r="76">
      <c r="A76" s="18" t="s">
        <v>128</v>
      </c>
      <c r="C76" s="1" t="s">
        <v>2250</v>
      </c>
      <c r="D76" s="1" t="s">
        <v>161</v>
      </c>
      <c r="E76" s="1" t="s">
        <v>175</v>
      </c>
      <c r="F76" s="1" t="s">
        <v>176</v>
      </c>
      <c r="G76" s="1" t="s">
        <v>38</v>
      </c>
      <c r="H76" s="1" t="s">
        <v>39</v>
      </c>
      <c r="I76" s="1" t="s">
        <v>15</v>
      </c>
      <c r="J76" s="1">
        <v>27.0</v>
      </c>
      <c r="K76" s="39"/>
    </row>
    <row r="77">
      <c r="A77" s="18" t="s">
        <v>128</v>
      </c>
      <c r="C77" s="1" t="s">
        <v>2250</v>
      </c>
      <c r="D77" s="1" t="s">
        <v>161</v>
      </c>
      <c r="E77" s="1" t="s">
        <v>175</v>
      </c>
      <c r="F77" s="1" t="s">
        <v>2302</v>
      </c>
      <c r="G77" s="1" t="s">
        <v>288</v>
      </c>
      <c r="H77" s="1" t="s">
        <v>39</v>
      </c>
      <c r="I77" s="1" t="s">
        <v>15</v>
      </c>
      <c r="J77" s="1">
        <v>28.0</v>
      </c>
      <c r="K77" s="39"/>
    </row>
    <row r="78">
      <c r="A78" s="18" t="s">
        <v>128</v>
      </c>
      <c r="C78" s="1" t="s">
        <v>2250</v>
      </c>
      <c r="D78" s="1" t="s">
        <v>161</v>
      </c>
      <c r="E78" s="1" t="s">
        <v>177</v>
      </c>
      <c r="F78" s="1" t="s">
        <v>178</v>
      </c>
      <c r="G78" s="1" t="s">
        <v>63</v>
      </c>
      <c r="H78" s="1" t="s">
        <v>39</v>
      </c>
      <c r="I78" s="1" t="s">
        <v>15</v>
      </c>
      <c r="J78" s="1">
        <v>29.0</v>
      </c>
      <c r="K78" s="39"/>
    </row>
    <row r="79">
      <c r="A79" s="18" t="s">
        <v>128</v>
      </c>
      <c r="C79" s="1" t="s">
        <v>2250</v>
      </c>
      <c r="D79" s="1" t="s">
        <v>179</v>
      </c>
      <c r="E79" s="1" t="s">
        <v>180</v>
      </c>
      <c r="F79" s="1" t="s">
        <v>2252</v>
      </c>
      <c r="G79" s="1" t="s">
        <v>181</v>
      </c>
      <c r="H79" s="1" t="s">
        <v>39</v>
      </c>
      <c r="I79" s="1" t="s">
        <v>15</v>
      </c>
      <c r="J79" s="1">
        <v>30.0</v>
      </c>
      <c r="K79" s="39"/>
    </row>
    <row r="80">
      <c r="A80" s="18" t="s">
        <v>128</v>
      </c>
      <c r="C80" s="1" t="s">
        <v>2250</v>
      </c>
      <c r="D80" s="1" t="s">
        <v>182</v>
      </c>
      <c r="E80" s="1" t="s">
        <v>183</v>
      </c>
      <c r="F80" s="1" t="s">
        <v>184</v>
      </c>
      <c r="G80" s="1" t="s">
        <v>185</v>
      </c>
      <c r="H80" s="1" t="s">
        <v>39</v>
      </c>
      <c r="I80" s="1" t="s">
        <v>15</v>
      </c>
      <c r="J80" s="1">
        <v>31.0</v>
      </c>
      <c r="K80" s="39"/>
      <c r="L80" s="45"/>
    </row>
    <row r="81">
      <c r="A81" s="18" t="s">
        <v>128</v>
      </c>
      <c r="C81" s="1" t="s">
        <v>2250</v>
      </c>
      <c r="D81" s="1" t="s">
        <v>186</v>
      </c>
      <c r="E81" s="1" t="s">
        <v>187</v>
      </c>
      <c r="F81" s="1" t="s">
        <v>188</v>
      </c>
      <c r="G81" s="1" t="s">
        <v>127</v>
      </c>
      <c r="H81" s="1" t="s">
        <v>39</v>
      </c>
      <c r="I81" s="1" t="s">
        <v>15</v>
      </c>
      <c r="J81" s="1">
        <v>32.0</v>
      </c>
      <c r="K81" s="39"/>
      <c r="L81" s="45"/>
    </row>
    <row r="82">
      <c r="A82" s="47"/>
      <c r="B82" s="47"/>
      <c r="C82" s="47"/>
      <c r="D82" s="47"/>
      <c r="E82" s="47"/>
      <c r="F82" s="47"/>
      <c r="G82" s="47"/>
      <c r="H82" s="47"/>
      <c r="I82" s="47"/>
      <c r="J82" s="47"/>
      <c r="K82" s="47"/>
      <c r="L82" s="48"/>
      <c r="M82" s="47"/>
      <c r="N82" s="47"/>
      <c r="O82" s="47"/>
      <c r="P82" s="47"/>
      <c r="Q82" s="47"/>
      <c r="R82" s="47"/>
      <c r="S82" s="47"/>
      <c r="T82" s="47"/>
      <c r="U82" s="47"/>
      <c r="V82" s="47"/>
      <c r="W82" s="47"/>
      <c r="X82" s="47"/>
      <c r="Y82" s="47"/>
      <c r="Z82" s="47"/>
    </row>
    <row r="83">
      <c r="A83" s="1" t="s">
        <v>189</v>
      </c>
      <c r="C83" s="1" t="s">
        <v>2303</v>
      </c>
      <c r="D83" s="1" t="s">
        <v>2304</v>
      </c>
      <c r="E83" s="1" t="s">
        <v>2305</v>
      </c>
      <c r="F83" s="1" t="s">
        <v>2306</v>
      </c>
      <c r="H83" s="1" t="s">
        <v>20</v>
      </c>
      <c r="I83" s="1" t="s">
        <v>194</v>
      </c>
      <c r="J83" s="1">
        <v>1.0</v>
      </c>
      <c r="K83" s="39"/>
      <c r="L83" s="2">
        <v>11.0</v>
      </c>
      <c r="M83" s="1" t="s">
        <v>190</v>
      </c>
      <c r="N83" s="1" t="s">
        <v>191</v>
      </c>
      <c r="O83" s="1" t="s">
        <v>192</v>
      </c>
      <c r="P83" s="1" t="s">
        <v>193</v>
      </c>
      <c r="Q83" s="1" t="s">
        <v>20</v>
      </c>
      <c r="R83" s="1" t="s">
        <v>194</v>
      </c>
    </row>
    <row r="84">
      <c r="A84" s="1" t="s">
        <v>189</v>
      </c>
      <c r="C84" s="1" t="s">
        <v>2303</v>
      </c>
      <c r="D84" s="1" t="s">
        <v>2307</v>
      </c>
      <c r="E84" s="1" t="s">
        <v>872</v>
      </c>
      <c r="F84" s="1" t="s">
        <v>2308</v>
      </c>
      <c r="G84" s="1" t="s">
        <v>2309</v>
      </c>
      <c r="H84" s="1" t="s">
        <v>54</v>
      </c>
      <c r="I84" s="1" t="s">
        <v>194</v>
      </c>
      <c r="J84" s="1">
        <v>2.0</v>
      </c>
      <c r="K84" s="39"/>
      <c r="L84" s="2">
        <v>12.0</v>
      </c>
      <c r="M84" s="1" t="s">
        <v>190</v>
      </c>
      <c r="N84" s="1" t="s">
        <v>195</v>
      </c>
      <c r="O84" s="1" t="s">
        <v>196</v>
      </c>
      <c r="P84" s="1" t="s">
        <v>197</v>
      </c>
      <c r="Q84" s="1" t="s">
        <v>20</v>
      </c>
      <c r="R84" s="1" t="s">
        <v>194</v>
      </c>
    </row>
    <row r="85">
      <c r="A85" s="1" t="s">
        <v>189</v>
      </c>
      <c r="C85" s="1" t="s">
        <v>2303</v>
      </c>
      <c r="D85" s="1" t="s">
        <v>2310</v>
      </c>
      <c r="E85" s="1" t="s">
        <v>2311</v>
      </c>
      <c r="F85" s="1" t="s">
        <v>2312</v>
      </c>
      <c r="G85" s="1" t="s">
        <v>2313</v>
      </c>
      <c r="H85" s="1" t="s">
        <v>54</v>
      </c>
      <c r="I85" s="1" t="s">
        <v>194</v>
      </c>
      <c r="J85" s="1">
        <v>3.0</v>
      </c>
      <c r="K85" s="39"/>
      <c r="L85" s="2" t="s">
        <v>74</v>
      </c>
      <c r="M85" s="1" t="s">
        <v>190</v>
      </c>
      <c r="N85" s="1" t="s">
        <v>198</v>
      </c>
      <c r="O85" s="1" t="s">
        <v>199</v>
      </c>
      <c r="P85" s="1" t="s">
        <v>197</v>
      </c>
      <c r="Q85" s="1" t="s">
        <v>20</v>
      </c>
      <c r="R85" s="1" t="s">
        <v>194</v>
      </c>
    </row>
    <row r="86">
      <c r="A86" s="1" t="s">
        <v>189</v>
      </c>
      <c r="C86" s="1" t="s">
        <v>2303</v>
      </c>
      <c r="D86" s="1" t="s">
        <v>2310</v>
      </c>
      <c r="E86" s="1" t="s">
        <v>2311</v>
      </c>
      <c r="F86" s="1" t="s">
        <v>2314</v>
      </c>
      <c r="G86" s="1" t="s">
        <v>2315</v>
      </c>
      <c r="H86" s="1" t="s">
        <v>20</v>
      </c>
      <c r="I86" s="1" t="s">
        <v>194</v>
      </c>
      <c r="J86" s="1">
        <v>4.0</v>
      </c>
      <c r="K86" s="39"/>
      <c r="L86" s="2" t="s">
        <v>200</v>
      </c>
      <c r="M86" s="1" t="s">
        <v>190</v>
      </c>
      <c r="N86" s="1" t="s">
        <v>198</v>
      </c>
      <c r="O86" s="1" t="s">
        <v>201</v>
      </c>
      <c r="P86" s="1" t="s">
        <v>197</v>
      </c>
      <c r="Q86" s="1" t="s">
        <v>20</v>
      </c>
      <c r="R86" s="1" t="s">
        <v>194</v>
      </c>
    </row>
    <row r="87">
      <c r="A87" s="1" t="s">
        <v>189</v>
      </c>
      <c r="C87" s="1" t="s">
        <v>2303</v>
      </c>
      <c r="D87" s="1" t="s">
        <v>2316</v>
      </c>
      <c r="F87" s="1" t="s">
        <v>2317</v>
      </c>
      <c r="G87" s="1" t="s">
        <v>2318</v>
      </c>
      <c r="H87" s="1" t="s">
        <v>54</v>
      </c>
      <c r="I87" s="1" t="s">
        <v>194</v>
      </c>
      <c r="J87" s="1">
        <v>5.0</v>
      </c>
      <c r="K87" s="39"/>
      <c r="L87" s="2" t="s">
        <v>202</v>
      </c>
      <c r="M87" s="1" t="s">
        <v>190</v>
      </c>
      <c r="N87" s="1" t="s">
        <v>198</v>
      </c>
      <c r="O87" s="1" t="s">
        <v>203</v>
      </c>
      <c r="P87" s="1" t="s">
        <v>197</v>
      </c>
      <c r="Q87" s="1" t="s">
        <v>20</v>
      </c>
      <c r="R87" s="1" t="s">
        <v>194</v>
      </c>
    </row>
    <row r="88">
      <c r="A88" s="1" t="s">
        <v>189</v>
      </c>
      <c r="C88" s="1" t="s">
        <v>2303</v>
      </c>
      <c r="D88" s="1" t="s">
        <v>2319</v>
      </c>
      <c r="F88" s="1" t="s">
        <v>2320</v>
      </c>
      <c r="H88" s="1" t="s">
        <v>54</v>
      </c>
      <c r="I88" s="1" t="s">
        <v>194</v>
      </c>
      <c r="J88" s="1">
        <v>6.0</v>
      </c>
      <c r="K88" s="39"/>
      <c r="L88" s="2">
        <v>16.0</v>
      </c>
      <c r="M88" s="1" t="s">
        <v>204</v>
      </c>
      <c r="N88" s="1" t="s">
        <v>33</v>
      </c>
      <c r="O88" s="1" t="s">
        <v>206</v>
      </c>
      <c r="P88" s="1" t="s">
        <v>33</v>
      </c>
      <c r="Q88" s="1" t="s">
        <v>44</v>
      </c>
      <c r="R88" s="1" t="s">
        <v>194</v>
      </c>
    </row>
    <row r="89">
      <c r="A89" s="1" t="s">
        <v>189</v>
      </c>
      <c r="C89" s="1" t="s">
        <v>2303</v>
      </c>
      <c r="D89" s="1" t="s">
        <v>2321</v>
      </c>
      <c r="F89" s="1" t="s">
        <v>2322</v>
      </c>
      <c r="G89" s="1" t="s">
        <v>2323</v>
      </c>
      <c r="H89" s="1" t="s">
        <v>39</v>
      </c>
      <c r="I89" s="1" t="s">
        <v>194</v>
      </c>
      <c r="J89" s="1">
        <v>7.0</v>
      </c>
      <c r="K89" s="39"/>
      <c r="L89" s="2" t="s">
        <v>208</v>
      </c>
      <c r="M89" s="1" t="s">
        <v>209</v>
      </c>
      <c r="N89" s="1" t="s">
        <v>210</v>
      </c>
      <c r="O89" s="1" t="s">
        <v>211</v>
      </c>
      <c r="P89" s="1" t="s">
        <v>212</v>
      </c>
      <c r="Q89" s="1" t="s">
        <v>91</v>
      </c>
      <c r="R89" s="1" t="s">
        <v>194</v>
      </c>
    </row>
    <row r="90">
      <c r="A90" s="1" t="s">
        <v>189</v>
      </c>
      <c r="C90" s="1" t="s">
        <v>2303</v>
      </c>
      <c r="D90" s="1" t="s">
        <v>2324</v>
      </c>
      <c r="F90" s="1" t="s">
        <v>2325</v>
      </c>
      <c r="H90" s="1" t="s">
        <v>39</v>
      </c>
      <c r="I90" s="1" t="s">
        <v>194</v>
      </c>
      <c r="J90" s="1">
        <v>8.0</v>
      </c>
      <c r="K90" s="39"/>
      <c r="L90" s="2" t="s">
        <v>213</v>
      </c>
      <c r="M90" s="1" t="s">
        <v>214</v>
      </c>
      <c r="N90" s="1" t="s">
        <v>215</v>
      </c>
      <c r="O90" s="1" t="s">
        <v>216</v>
      </c>
      <c r="P90" s="1" t="s">
        <v>2326</v>
      </c>
      <c r="Q90" s="1" t="s">
        <v>91</v>
      </c>
      <c r="R90" s="1" t="s">
        <v>194</v>
      </c>
    </row>
    <row r="91">
      <c r="A91" s="1" t="s">
        <v>189</v>
      </c>
      <c r="C91" s="1" t="s">
        <v>2303</v>
      </c>
      <c r="D91" s="1" t="s">
        <v>2327</v>
      </c>
      <c r="F91" s="1" t="s">
        <v>237</v>
      </c>
      <c r="H91" s="1" t="s">
        <v>39</v>
      </c>
      <c r="I91" s="1" t="s">
        <v>194</v>
      </c>
      <c r="J91" s="1">
        <v>9.0</v>
      </c>
      <c r="K91" s="39"/>
      <c r="L91" s="2" t="s">
        <v>218</v>
      </c>
      <c r="M91" s="1" t="s">
        <v>219</v>
      </c>
      <c r="N91" s="1" t="s">
        <v>215</v>
      </c>
      <c r="O91" s="1" t="s">
        <v>220</v>
      </c>
      <c r="P91" s="1" t="s">
        <v>221</v>
      </c>
      <c r="Q91" s="1" t="s">
        <v>91</v>
      </c>
      <c r="R91" s="1" t="s">
        <v>194</v>
      </c>
    </row>
    <row r="92">
      <c r="A92" s="1" t="s">
        <v>189</v>
      </c>
      <c r="C92" s="1" t="s">
        <v>2303</v>
      </c>
      <c r="D92" s="1" t="s">
        <v>2328</v>
      </c>
      <c r="F92" s="1" t="s">
        <v>2329</v>
      </c>
      <c r="G92" s="1" t="s">
        <v>2330</v>
      </c>
      <c r="H92" s="1" t="s">
        <v>39</v>
      </c>
      <c r="I92" s="1" t="s">
        <v>194</v>
      </c>
      <c r="J92" s="1">
        <v>10.0</v>
      </c>
      <c r="K92" s="39"/>
      <c r="L92" s="2" t="s">
        <v>95</v>
      </c>
      <c r="M92" s="1" t="s">
        <v>219</v>
      </c>
      <c r="N92" s="1" t="s">
        <v>215</v>
      </c>
      <c r="O92" s="1" t="s">
        <v>222</v>
      </c>
      <c r="P92" s="1" t="s">
        <v>221</v>
      </c>
      <c r="Q92" s="1" t="s">
        <v>91</v>
      </c>
      <c r="R92" s="1" t="s">
        <v>194</v>
      </c>
    </row>
    <row r="93">
      <c r="A93" s="1" t="s">
        <v>189</v>
      </c>
      <c r="C93" s="1" t="s">
        <v>2250</v>
      </c>
      <c r="D93" s="1" t="s">
        <v>190</v>
      </c>
      <c r="E93" s="1" t="s">
        <v>191</v>
      </c>
      <c r="F93" s="1" t="s">
        <v>192</v>
      </c>
      <c r="G93" s="1" t="s">
        <v>193</v>
      </c>
      <c r="H93" s="1" t="s">
        <v>20</v>
      </c>
      <c r="I93" s="1" t="s">
        <v>194</v>
      </c>
      <c r="J93" s="1">
        <v>11.0</v>
      </c>
      <c r="K93" s="39"/>
      <c r="L93" s="2">
        <v>21.0</v>
      </c>
      <c r="M93" s="1" t="s">
        <v>219</v>
      </c>
      <c r="N93" s="1" t="s">
        <v>223</v>
      </c>
      <c r="O93" s="1" t="s">
        <v>224</v>
      </c>
      <c r="P93" s="1" t="s">
        <v>225</v>
      </c>
      <c r="Q93" s="1" t="s">
        <v>91</v>
      </c>
      <c r="R93" s="1" t="s">
        <v>194</v>
      </c>
    </row>
    <row r="94">
      <c r="A94" s="1" t="s">
        <v>189</v>
      </c>
      <c r="C94" s="1" t="s">
        <v>2250</v>
      </c>
      <c r="D94" s="1" t="s">
        <v>190</v>
      </c>
      <c r="E94" s="1" t="s">
        <v>195</v>
      </c>
      <c r="F94" s="1" t="s">
        <v>196</v>
      </c>
      <c r="G94" s="1" t="s">
        <v>197</v>
      </c>
      <c r="H94" s="1" t="s">
        <v>20</v>
      </c>
      <c r="I94" s="1" t="s">
        <v>194</v>
      </c>
      <c r="J94" s="1">
        <v>12.0</v>
      </c>
      <c r="K94" s="39"/>
      <c r="L94" s="2" t="s">
        <v>226</v>
      </c>
      <c r="M94" s="1" t="s">
        <v>219</v>
      </c>
      <c r="N94" s="1" t="s">
        <v>227</v>
      </c>
      <c r="O94" s="1" t="s">
        <v>228</v>
      </c>
      <c r="P94" s="1" t="s">
        <v>229</v>
      </c>
      <c r="Q94" s="1" t="s">
        <v>54</v>
      </c>
      <c r="R94" s="1" t="s">
        <v>194</v>
      </c>
    </row>
    <row r="95">
      <c r="A95" s="1" t="s">
        <v>189</v>
      </c>
      <c r="C95" s="1" t="s">
        <v>2250</v>
      </c>
      <c r="D95" s="1" t="s">
        <v>190</v>
      </c>
      <c r="E95" s="1" t="s">
        <v>198</v>
      </c>
      <c r="F95" s="1" t="s">
        <v>199</v>
      </c>
      <c r="G95" s="1" t="s">
        <v>197</v>
      </c>
      <c r="H95" s="1" t="s">
        <v>20</v>
      </c>
      <c r="I95" s="1" t="s">
        <v>194</v>
      </c>
      <c r="J95" s="1">
        <v>13.0</v>
      </c>
      <c r="K95" s="39"/>
      <c r="L95" s="2" t="s">
        <v>107</v>
      </c>
      <c r="M95" s="1" t="s">
        <v>219</v>
      </c>
      <c r="N95" s="1" t="s">
        <v>230</v>
      </c>
      <c r="O95" s="1" t="s">
        <v>231</v>
      </c>
      <c r="P95" s="1" t="s">
        <v>33</v>
      </c>
      <c r="Q95" s="1" t="s">
        <v>54</v>
      </c>
      <c r="R95" s="1" t="s">
        <v>194</v>
      </c>
    </row>
    <row r="96">
      <c r="A96" s="1" t="s">
        <v>189</v>
      </c>
      <c r="C96" s="1" t="s">
        <v>2250</v>
      </c>
      <c r="D96" s="1" t="s">
        <v>190</v>
      </c>
      <c r="E96" s="1" t="s">
        <v>198</v>
      </c>
      <c r="F96" s="1" t="s">
        <v>201</v>
      </c>
      <c r="G96" s="1" t="s">
        <v>197</v>
      </c>
      <c r="H96" s="1" t="s">
        <v>20</v>
      </c>
      <c r="I96" s="1" t="s">
        <v>194</v>
      </c>
      <c r="J96" s="1">
        <v>14.0</v>
      </c>
      <c r="K96" s="39"/>
      <c r="L96" s="2" t="s">
        <v>232</v>
      </c>
      <c r="M96" s="1" t="s">
        <v>233</v>
      </c>
      <c r="N96" s="1" t="s">
        <v>234</v>
      </c>
      <c r="O96" s="1" t="s">
        <v>235</v>
      </c>
      <c r="P96" s="1" t="s">
        <v>236</v>
      </c>
      <c r="Q96" s="1" t="s">
        <v>54</v>
      </c>
      <c r="R96" s="1" t="s">
        <v>194</v>
      </c>
    </row>
    <row r="97">
      <c r="A97" s="1" t="s">
        <v>189</v>
      </c>
      <c r="C97" s="1" t="s">
        <v>2250</v>
      </c>
      <c r="D97" s="1" t="s">
        <v>190</v>
      </c>
      <c r="E97" s="1" t="s">
        <v>198</v>
      </c>
      <c r="F97" s="1" t="s">
        <v>203</v>
      </c>
      <c r="G97" s="1" t="s">
        <v>197</v>
      </c>
      <c r="H97" s="1" t="s">
        <v>20</v>
      </c>
      <c r="I97" s="1" t="s">
        <v>194</v>
      </c>
      <c r="J97" s="1">
        <v>15.0</v>
      </c>
      <c r="K97" s="39"/>
      <c r="L97" s="2">
        <v>9.0</v>
      </c>
      <c r="M97" s="1" t="s">
        <v>233</v>
      </c>
      <c r="O97" s="1" t="s">
        <v>237</v>
      </c>
      <c r="Q97" s="1" t="s">
        <v>39</v>
      </c>
      <c r="R97" s="1" t="s">
        <v>194</v>
      </c>
    </row>
    <row r="98">
      <c r="A98" s="1" t="s">
        <v>189</v>
      </c>
      <c r="C98" s="1" t="s">
        <v>2250</v>
      </c>
      <c r="D98" s="1" t="s">
        <v>204</v>
      </c>
      <c r="E98" s="1" t="s">
        <v>33</v>
      </c>
      <c r="F98" s="1" t="s">
        <v>206</v>
      </c>
      <c r="G98" s="1" t="s">
        <v>33</v>
      </c>
      <c r="H98" s="1" t="s">
        <v>44</v>
      </c>
      <c r="I98" s="1" t="s">
        <v>194</v>
      </c>
      <c r="J98" s="1">
        <v>16.0</v>
      </c>
      <c r="K98" s="39"/>
      <c r="L98" s="2">
        <v>25.0</v>
      </c>
      <c r="M98" s="1" t="s">
        <v>239</v>
      </c>
      <c r="N98" s="1" t="s">
        <v>33</v>
      </c>
      <c r="O98" s="1" t="s">
        <v>240</v>
      </c>
      <c r="Q98" s="1" t="s">
        <v>44</v>
      </c>
      <c r="R98" s="1" t="s">
        <v>194</v>
      </c>
    </row>
    <row r="99">
      <c r="A99" s="1" t="s">
        <v>189</v>
      </c>
      <c r="C99" s="1" t="s">
        <v>2250</v>
      </c>
      <c r="D99" s="1" t="s">
        <v>209</v>
      </c>
      <c r="E99" s="1" t="s">
        <v>210</v>
      </c>
      <c r="F99" s="1" t="s">
        <v>211</v>
      </c>
      <c r="G99" s="1" t="s">
        <v>212</v>
      </c>
      <c r="H99" s="1" t="s">
        <v>91</v>
      </c>
      <c r="I99" s="1" t="s">
        <v>194</v>
      </c>
      <c r="J99" s="1">
        <v>17.0</v>
      </c>
      <c r="K99" s="39"/>
      <c r="L99" s="2">
        <v>26.0</v>
      </c>
      <c r="M99" s="1" t="s">
        <v>239</v>
      </c>
      <c r="N99" s="51" t="s">
        <v>241</v>
      </c>
      <c r="O99" s="1" t="s">
        <v>242</v>
      </c>
      <c r="P99" s="1" t="s">
        <v>33</v>
      </c>
      <c r="Q99" s="1" t="s">
        <v>44</v>
      </c>
      <c r="R99" s="1" t="s">
        <v>194</v>
      </c>
    </row>
    <row r="100">
      <c r="A100" s="1" t="s">
        <v>189</v>
      </c>
      <c r="C100" s="1" t="s">
        <v>2250</v>
      </c>
      <c r="D100" s="1" t="s">
        <v>214</v>
      </c>
      <c r="E100" s="1" t="s">
        <v>215</v>
      </c>
      <c r="F100" s="1" t="s">
        <v>216</v>
      </c>
      <c r="G100" s="1" t="s">
        <v>2326</v>
      </c>
      <c r="H100" s="1" t="s">
        <v>91</v>
      </c>
      <c r="I100" s="1" t="s">
        <v>194</v>
      </c>
      <c r="J100" s="1">
        <v>18.0</v>
      </c>
      <c r="K100" s="39"/>
      <c r="L100" s="2">
        <v>27.0</v>
      </c>
      <c r="M100" s="1" t="s">
        <v>239</v>
      </c>
      <c r="N100" s="51" t="s">
        <v>241</v>
      </c>
      <c r="O100" s="1" t="s">
        <v>243</v>
      </c>
      <c r="P100" s="1" t="s">
        <v>33</v>
      </c>
      <c r="Q100" s="1" t="s">
        <v>106</v>
      </c>
      <c r="R100" s="1" t="s">
        <v>194</v>
      </c>
    </row>
    <row r="101">
      <c r="A101" s="1" t="s">
        <v>189</v>
      </c>
      <c r="C101" s="1" t="s">
        <v>2250</v>
      </c>
      <c r="D101" s="1" t="s">
        <v>219</v>
      </c>
      <c r="E101" s="1" t="s">
        <v>215</v>
      </c>
      <c r="F101" s="1" t="s">
        <v>220</v>
      </c>
      <c r="G101" s="1" t="s">
        <v>221</v>
      </c>
      <c r="H101" s="1" t="s">
        <v>91</v>
      </c>
      <c r="I101" s="1" t="s">
        <v>194</v>
      </c>
      <c r="J101" s="1">
        <v>19.0</v>
      </c>
      <c r="K101" s="39"/>
      <c r="L101" s="2">
        <v>28.0</v>
      </c>
      <c r="M101" s="1" t="s">
        <v>245</v>
      </c>
      <c r="N101" s="1" t="s">
        <v>246</v>
      </c>
      <c r="O101" s="1" t="s">
        <v>247</v>
      </c>
      <c r="P101" s="1" t="s">
        <v>248</v>
      </c>
      <c r="Q101" s="1" t="s">
        <v>54</v>
      </c>
      <c r="R101" s="1" t="s">
        <v>194</v>
      </c>
    </row>
    <row r="102">
      <c r="A102" s="1" t="s">
        <v>189</v>
      </c>
      <c r="C102" s="1" t="s">
        <v>2250</v>
      </c>
      <c r="D102" s="1" t="s">
        <v>219</v>
      </c>
      <c r="E102" s="1" t="s">
        <v>215</v>
      </c>
      <c r="F102" s="1" t="s">
        <v>222</v>
      </c>
      <c r="G102" s="1" t="s">
        <v>221</v>
      </c>
      <c r="H102" s="1" t="s">
        <v>91</v>
      </c>
      <c r="I102" s="1" t="s">
        <v>194</v>
      </c>
      <c r="J102" s="1">
        <v>20.0</v>
      </c>
      <c r="K102" s="39"/>
      <c r="L102" s="2" t="s">
        <v>249</v>
      </c>
      <c r="M102" s="1" t="s">
        <v>250</v>
      </c>
      <c r="N102" s="1" t="s">
        <v>251</v>
      </c>
      <c r="O102" s="1" t="s">
        <v>252</v>
      </c>
      <c r="P102" s="1" t="s">
        <v>38</v>
      </c>
      <c r="Q102" s="1" t="s">
        <v>39</v>
      </c>
      <c r="R102" s="1" t="s">
        <v>194</v>
      </c>
    </row>
    <row r="103">
      <c r="A103" s="1" t="s">
        <v>189</v>
      </c>
      <c r="C103" s="1" t="s">
        <v>2250</v>
      </c>
      <c r="D103" s="1" t="s">
        <v>219</v>
      </c>
      <c r="E103" s="1" t="s">
        <v>223</v>
      </c>
      <c r="F103" s="1" t="s">
        <v>224</v>
      </c>
      <c r="G103" s="1" t="s">
        <v>225</v>
      </c>
      <c r="H103" s="1" t="s">
        <v>91</v>
      </c>
      <c r="I103" s="1" t="s">
        <v>194</v>
      </c>
      <c r="J103" s="1">
        <v>21.0</v>
      </c>
      <c r="K103" s="39"/>
      <c r="L103" s="2" t="s">
        <v>253</v>
      </c>
      <c r="M103" s="1" t="s">
        <v>250</v>
      </c>
      <c r="N103" s="1" t="s">
        <v>251</v>
      </c>
      <c r="O103" s="1" t="s">
        <v>254</v>
      </c>
      <c r="P103" s="1" t="s">
        <v>255</v>
      </c>
      <c r="Q103" s="1" t="s">
        <v>39</v>
      </c>
      <c r="R103" s="1" t="s">
        <v>194</v>
      </c>
    </row>
    <row r="104">
      <c r="A104" s="1" t="s">
        <v>189</v>
      </c>
      <c r="C104" s="1" t="s">
        <v>2250</v>
      </c>
      <c r="D104" s="1" t="s">
        <v>219</v>
      </c>
      <c r="E104" s="1" t="s">
        <v>227</v>
      </c>
      <c r="F104" s="1" t="s">
        <v>228</v>
      </c>
      <c r="G104" s="1" t="s">
        <v>229</v>
      </c>
      <c r="H104" s="1" t="s">
        <v>54</v>
      </c>
      <c r="I104" s="1" t="s">
        <v>194</v>
      </c>
      <c r="J104" s="1">
        <v>22.0</v>
      </c>
      <c r="K104" s="39"/>
      <c r="L104" s="45"/>
    </row>
    <row r="105">
      <c r="A105" s="1" t="s">
        <v>189</v>
      </c>
      <c r="C105" s="1" t="s">
        <v>2250</v>
      </c>
      <c r="D105" s="1" t="s">
        <v>219</v>
      </c>
      <c r="E105" s="1" t="s">
        <v>230</v>
      </c>
      <c r="F105" s="1" t="s">
        <v>231</v>
      </c>
      <c r="G105" s="1" t="s">
        <v>33</v>
      </c>
      <c r="H105" s="1" t="s">
        <v>54</v>
      </c>
      <c r="I105" s="1" t="s">
        <v>194</v>
      </c>
      <c r="J105" s="1">
        <v>23.0</v>
      </c>
      <c r="K105" s="39"/>
      <c r="L105" s="45"/>
    </row>
    <row r="106">
      <c r="A106" s="1" t="s">
        <v>189</v>
      </c>
      <c r="C106" s="1" t="s">
        <v>2250</v>
      </c>
      <c r="D106" s="1" t="s">
        <v>233</v>
      </c>
      <c r="E106" s="1" t="s">
        <v>234</v>
      </c>
      <c r="F106" s="1" t="s">
        <v>235</v>
      </c>
      <c r="G106" s="1" t="s">
        <v>236</v>
      </c>
      <c r="H106" s="1" t="s">
        <v>54</v>
      </c>
      <c r="I106" s="1" t="s">
        <v>194</v>
      </c>
      <c r="J106" s="1">
        <v>24.0</v>
      </c>
      <c r="K106" s="39"/>
      <c r="L106" s="45"/>
    </row>
    <row r="107">
      <c r="A107" s="1" t="s">
        <v>189</v>
      </c>
      <c r="C107" s="1" t="s">
        <v>2250</v>
      </c>
      <c r="D107" s="1" t="s">
        <v>239</v>
      </c>
      <c r="E107" s="1" t="s">
        <v>33</v>
      </c>
      <c r="F107" s="1" t="s">
        <v>240</v>
      </c>
      <c r="H107" s="1" t="s">
        <v>44</v>
      </c>
      <c r="I107" s="1" t="s">
        <v>194</v>
      </c>
      <c r="J107" s="1">
        <v>25.0</v>
      </c>
      <c r="K107" s="39"/>
      <c r="L107" s="45"/>
    </row>
    <row r="108">
      <c r="A108" s="1" t="s">
        <v>189</v>
      </c>
      <c r="C108" s="1" t="s">
        <v>2250</v>
      </c>
      <c r="D108" s="1" t="s">
        <v>239</v>
      </c>
      <c r="E108" s="51" t="s">
        <v>241</v>
      </c>
      <c r="F108" s="1" t="s">
        <v>242</v>
      </c>
      <c r="G108" s="1" t="s">
        <v>33</v>
      </c>
      <c r="H108" s="1" t="s">
        <v>44</v>
      </c>
      <c r="I108" s="1" t="s">
        <v>194</v>
      </c>
      <c r="J108" s="1">
        <v>26.0</v>
      </c>
      <c r="K108" s="39"/>
      <c r="L108" s="45"/>
    </row>
    <row r="109">
      <c r="A109" s="1" t="s">
        <v>189</v>
      </c>
      <c r="C109" s="1" t="s">
        <v>2250</v>
      </c>
      <c r="D109" s="1" t="s">
        <v>239</v>
      </c>
      <c r="E109" s="51" t="s">
        <v>241</v>
      </c>
      <c r="F109" s="1" t="s">
        <v>243</v>
      </c>
      <c r="G109" s="1" t="s">
        <v>33</v>
      </c>
      <c r="H109" s="1" t="s">
        <v>106</v>
      </c>
      <c r="I109" s="1" t="s">
        <v>194</v>
      </c>
      <c r="J109" s="1">
        <v>27.0</v>
      </c>
      <c r="K109" s="39"/>
      <c r="L109" s="45"/>
    </row>
    <row r="110">
      <c r="A110" s="1" t="s">
        <v>189</v>
      </c>
      <c r="C110" s="1" t="s">
        <v>2250</v>
      </c>
      <c r="D110" s="1" t="s">
        <v>245</v>
      </c>
      <c r="E110" s="1" t="s">
        <v>246</v>
      </c>
      <c r="F110" s="1" t="s">
        <v>247</v>
      </c>
      <c r="G110" s="1" t="s">
        <v>248</v>
      </c>
      <c r="H110" s="1" t="s">
        <v>54</v>
      </c>
      <c r="I110" s="1" t="s">
        <v>194</v>
      </c>
      <c r="J110" s="1">
        <v>28.0</v>
      </c>
      <c r="K110" s="39"/>
      <c r="L110" s="45"/>
    </row>
    <row r="111">
      <c r="A111" s="1" t="s">
        <v>189</v>
      </c>
      <c r="C111" s="1" t="s">
        <v>2250</v>
      </c>
      <c r="D111" s="1" t="s">
        <v>250</v>
      </c>
      <c r="E111" s="1" t="s">
        <v>251</v>
      </c>
      <c r="F111" s="1" t="s">
        <v>252</v>
      </c>
      <c r="G111" s="1" t="s">
        <v>38</v>
      </c>
      <c r="H111" s="1" t="s">
        <v>39</v>
      </c>
      <c r="I111" s="1" t="s">
        <v>194</v>
      </c>
      <c r="J111" s="1">
        <v>29.0</v>
      </c>
      <c r="K111" s="39"/>
      <c r="L111" s="45"/>
    </row>
    <row r="112">
      <c r="A112" s="1" t="s">
        <v>189</v>
      </c>
      <c r="C112" s="1" t="s">
        <v>2250</v>
      </c>
      <c r="D112" s="1" t="s">
        <v>250</v>
      </c>
      <c r="E112" s="1" t="s">
        <v>251</v>
      </c>
      <c r="F112" s="1" t="s">
        <v>254</v>
      </c>
      <c r="G112" s="1" t="s">
        <v>255</v>
      </c>
      <c r="H112" s="1" t="s">
        <v>39</v>
      </c>
      <c r="I112" s="1" t="s">
        <v>194</v>
      </c>
      <c r="J112" s="1">
        <v>30.0</v>
      </c>
      <c r="K112" s="39"/>
      <c r="L112" s="45"/>
    </row>
    <row r="113">
      <c r="A113" s="47"/>
      <c r="B113" s="47"/>
      <c r="C113" s="47"/>
      <c r="D113" s="47"/>
      <c r="E113" s="47"/>
      <c r="F113" s="47"/>
      <c r="G113" s="47"/>
      <c r="H113" s="47"/>
      <c r="I113" s="47"/>
      <c r="J113" s="47"/>
      <c r="K113" s="47"/>
      <c r="L113" s="48"/>
      <c r="M113" s="47"/>
      <c r="N113" s="47"/>
      <c r="O113" s="47"/>
      <c r="P113" s="47"/>
      <c r="Q113" s="47"/>
      <c r="R113" s="47"/>
      <c r="S113" s="47"/>
      <c r="T113" s="47"/>
      <c r="U113" s="47"/>
      <c r="V113" s="47"/>
      <c r="W113" s="47"/>
      <c r="X113" s="47"/>
      <c r="Y113" s="47"/>
      <c r="Z113" s="47"/>
    </row>
    <row r="114">
      <c r="A114" s="1" t="s">
        <v>256</v>
      </c>
      <c r="C114" s="1" t="s">
        <v>2277</v>
      </c>
      <c r="D114" s="52" t="s">
        <v>2331</v>
      </c>
      <c r="E114" s="1" t="s">
        <v>258</v>
      </c>
      <c r="F114" s="1" t="s">
        <v>259</v>
      </c>
      <c r="H114" s="1" t="s">
        <v>20</v>
      </c>
      <c r="I114" s="1" t="s">
        <v>2332</v>
      </c>
      <c r="J114" s="1">
        <v>1.0</v>
      </c>
      <c r="K114" s="39"/>
      <c r="L114" s="2">
        <v>1.0</v>
      </c>
      <c r="M114" s="1" t="s">
        <v>257</v>
      </c>
      <c r="N114" s="1" t="s">
        <v>258</v>
      </c>
      <c r="O114" s="1" t="s">
        <v>259</v>
      </c>
      <c r="Q114" s="1" t="s">
        <v>20</v>
      </c>
      <c r="R114" s="1" t="s">
        <v>2332</v>
      </c>
      <c r="S114" s="1" t="s">
        <v>2333</v>
      </c>
    </row>
    <row r="115">
      <c r="A115" s="1" t="s">
        <v>256</v>
      </c>
      <c r="C115" s="1" t="s">
        <v>2277</v>
      </c>
      <c r="D115" s="52" t="s">
        <v>2331</v>
      </c>
      <c r="E115" s="1" t="s">
        <v>2334</v>
      </c>
      <c r="F115" s="1" t="s">
        <v>2335</v>
      </c>
      <c r="G115" s="1" t="s">
        <v>2336</v>
      </c>
      <c r="H115" s="1" t="s">
        <v>14</v>
      </c>
      <c r="I115" s="1" t="s">
        <v>2332</v>
      </c>
      <c r="J115" s="1">
        <v>2.0</v>
      </c>
      <c r="K115" s="39"/>
      <c r="L115" s="2" t="s">
        <v>261</v>
      </c>
      <c r="M115" s="1" t="s">
        <v>262</v>
      </c>
      <c r="N115" s="1" t="s">
        <v>263</v>
      </c>
      <c r="O115" s="1" t="s">
        <v>264</v>
      </c>
      <c r="P115" s="1" t="s">
        <v>2337</v>
      </c>
      <c r="Q115" s="1" t="s">
        <v>14</v>
      </c>
      <c r="R115" s="1" t="s">
        <v>260</v>
      </c>
    </row>
    <row r="116">
      <c r="A116" s="1" t="s">
        <v>256</v>
      </c>
      <c r="C116" s="1" t="s">
        <v>2277</v>
      </c>
      <c r="D116" s="52" t="s">
        <v>2338</v>
      </c>
      <c r="E116" s="1" t="s">
        <v>170</v>
      </c>
      <c r="F116" s="1" t="s">
        <v>272</v>
      </c>
      <c r="H116" s="1" t="s">
        <v>54</v>
      </c>
      <c r="I116" s="1" t="s">
        <v>2332</v>
      </c>
      <c r="J116" s="1">
        <v>3.0</v>
      </c>
      <c r="K116" s="39"/>
      <c r="L116" s="2" t="s">
        <v>266</v>
      </c>
      <c r="M116" s="1" t="s">
        <v>262</v>
      </c>
      <c r="N116" s="1" t="s">
        <v>263</v>
      </c>
      <c r="O116" s="1" t="s">
        <v>267</v>
      </c>
      <c r="P116" s="1" t="s">
        <v>2337</v>
      </c>
      <c r="Q116" s="1" t="s">
        <v>14</v>
      </c>
      <c r="R116" s="1" t="s">
        <v>260</v>
      </c>
    </row>
    <row r="117">
      <c r="A117" s="1" t="s">
        <v>256</v>
      </c>
      <c r="C117" s="1" t="s">
        <v>2277</v>
      </c>
      <c r="D117" s="53" t="s">
        <v>2339</v>
      </c>
      <c r="E117" s="1" t="s">
        <v>170</v>
      </c>
      <c r="F117" s="1" t="s">
        <v>2340</v>
      </c>
      <c r="H117" s="1" t="s">
        <v>54</v>
      </c>
      <c r="I117" s="1" t="s">
        <v>2332</v>
      </c>
      <c r="J117" s="1">
        <v>4.0</v>
      </c>
      <c r="K117" s="39"/>
      <c r="L117" s="2" t="s">
        <v>268</v>
      </c>
      <c r="M117" s="1" t="s">
        <v>262</v>
      </c>
      <c r="N117" s="1" t="s">
        <v>263</v>
      </c>
      <c r="O117" s="1" t="s">
        <v>269</v>
      </c>
      <c r="P117" s="1" t="s">
        <v>2337</v>
      </c>
      <c r="Q117" s="1" t="s">
        <v>14</v>
      </c>
      <c r="R117" s="1" t="s">
        <v>260</v>
      </c>
    </row>
    <row r="118">
      <c r="A118" s="1" t="s">
        <v>256</v>
      </c>
      <c r="C118" s="1" t="s">
        <v>2277</v>
      </c>
      <c r="D118" s="53" t="s">
        <v>2339</v>
      </c>
      <c r="E118" s="1" t="s">
        <v>910</v>
      </c>
      <c r="F118" s="1" t="s">
        <v>477</v>
      </c>
      <c r="H118" s="1" t="s">
        <v>39</v>
      </c>
      <c r="I118" s="1" t="s">
        <v>2332</v>
      </c>
      <c r="J118" s="1">
        <v>5.0</v>
      </c>
      <c r="K118" s="39"/>
      <c r="L118" s="2" t="s">
        <v>270</v>
      </c>
      <c r="M118" s="1" t="s">
        <v>262</v>
      </c>
      <c r="N118" s="1" t="s">
        <v>263</v>
      </c>
      <c r="O118" s="1" t="s">
        <v>271</v>
      </c>
      <c r="P118" s="1" t="s">
        <v>2337</v>
      </c>
      <c r="Q118" s="1" t="s">
        <v>14</v>
      </c>
      <c r="R118" s="1" t="s">
        <v>260</v>
      </c>
    </row>
    <row r="119">
      <c r="A119" s="1" t="s">
        <v>256</v>
      </c>
      <c r="C119" s="1" t="s">
        <v>2277</v>
      </c>
      <c r="D119" s="53" t="s">
        <v>2339</v>
      </c>
      <c r="E119" s="1" t="s">
        <v>910</v>
      </c>
      <c r="F119" s="1" t="s">
        <v>2341</v>
      </c>
      <c r="H119" s="1" t="s">
        <v>39</v>
      </c>
      <c r="I119" s="1" t="s">
        <v>2332</v>
      </c>
      <c r="J119" s="1">
        <v>6.0</v>
      </c>
      <c r="K119" s="39"/>
      <c r="L119" s="2">
        <v>3.0</v>
      </c>
      <c r="M119" s="1" t="s">
        <v>262</v>
      </c>
      <c r="N119" s="1" t="s">
        <v>170</v>
      </c>
      <c r="O119" s="1" t="s">
        <v>272</v>
      </c>
      <c r="Q119" s="1" t="s">
        <v>54</v>
      </c>
      <c r="R119" s="1" t="s">
        <v>2332</v>
      </c>
    </row>
    <row r="120">
      <c r="A120" s="1" t="s">
        <v>256</v>
      </c>
      <c r="C120" s="1" t="s">
        <v>2277</v>
      </c>
      <c r="D120" s="53" t="s">
        <v>2342</v>
      </c>
      <c r="E120" s="1" t="s">
        <v>910</v>
      </c>
      <c r="F120" s="1" t="s">
        <v>2343</v>
      </c>
      <c r="H120" s="1" t="s">
        <v>506</v>
      </c>
      <c r="I120" s="1" t="s">
        <v>2332</v>
      </c>
      <c r="J120" s="1">
        <v>7.0</v>
      </c>
      <c r="K120" s="39"/>
      <c r="L120" s="2" t="s">
        <v>274</v>
      </c>
      <c r="M120" s="1" t="s">
        <v>275</v>
      </c>
      <c r="N120" s="1" t="s">
        <v>33</v>
      </c>
      <c r="O120" s="1" t="s">
        <v>276</v>
      </c>
      <c r="P120" s="1" t="s">
        <v>2344</v>
      </c>
      <c r="Q120" s="1" t="s">
        <v>44</v>
      </c>
      <c r="R120" s="1" t="s">
        <v>260</v>
      </c>
    </row>
    <row r="121">
      <c r="A121" s="1" t="s">
        <v>256</v>
      </c>
      <c r="C121" s="1" t="s">
        <v>2250</v>
      </c>
      <c r="D121" s="1" t="s">
        <v>262</v>
      </c>
      <c r="E121" s="1" t="s">
        <v>263</v>
      </c>
      <c r="F121" s="1" t="s">
        <v>264</v>
      </c>
      <c r="G121" s="1" t="s">
        <v>2337</v>
      </c>
      <c r="H121" s="1" t="s">
        <v>14</v>
      </c>
      <c r="I121" s="1" t="s">
        <v>260</v>
      </c>
      <c r="J121" s="1">
        <v>8.0</v>
      </c>
      <c r="K121" s="39"/>
      <c r="L121" s="2" t="s">
        <v>278</v>
      </c>
      <c r="M121" s="1" t="s">
        <v>275</v>
      </c>
      <c r="N121" s="1" t="s">
        <v>279</v>
      </c>
      <c r="O121" s="1" t="s">
        <v>280</v>
      </c>
      <c r="P121" s="1" t="s">
        <v>33</v>
      </c>
      <c r="Q121" s="1" t="s">
        <v>20</v>
      </c>
      <c r="R121" s="1" t="s">
        <v>260</v>
      </c>
    </row>
    <row r="122">
      <c r="A122" s="17" t="s">
        <v>256</v>
      </c>
      <c r="C122" s="1" t="s">
        <v>2250</v>
      </c>
      <c r="D122" s="1" t="s">
        <v>262</v>
      </c>
      <c r="E122" s="1" t="s">
        <v>263</v>
      </c>
      <c r="F122" s="1" t="s">
        <v>267</v>
      </c>
      <c r="G122" s="1" t="s">
        <v>2337</v>
      </c>
      <c r="H122" s="1" t="s">
        <v>14</v>
      </c>
      <c r="I122" s="1" t="s">
        <v>260</v>
      </c>
      <c r="J122" s="1">
        <v>9.0</v>
      </c>
      <c r="K122" s="39"/>
      <c r="L122" s="54">
        <v>41795.0</v>
      </c>
      <c r="M122" s="1" t="s">
        <v>275</v>
      </c>
      <c r="N122" s="1" t="s">
        <v>281</v>
      </c>
      <c r="O122" s="1" t="s">
        <v>282</v>
      </c>
      <c r="P122" s="1" t="s">
        <v>283</v>
      </c>
      <c r="Q122" s="1" t="s">
        <v>39</v>
      </c>
      <c r="R122" s="1" t="s">
        <v>260</v>
      </c>
    </row>
    <row r="123">
      <c r="A123" s="17" t="s">
        <v>256</v>
      </c>
      <c r="C123" s="1" t="s">
        <v>2250</v>
      </c>
      <c r="D123" s="1" t="s">
        <v>262</v>
      </c>
      <c r="E123" s="1" t="s">
        <v>263</v>
      </c>
      <c r="F123" s="1" t="s">
        <v>269</v>
      </c>
      <c r="G123" s="1" t="s">
        <v>2337</v>
      </c>
      <c r="H123" s="1" t="s">
        <v>14</v>
      </c>
      <c r="I123" s="1" t="s">
        <v>260</v>
      </c>
      <c r="J123" s="1">
        <v>10.0</v>
      </c>
      <c r="K123" s="39"/>
      <c r="L123" s="54">
        <v>42160.0</v>
      </c>
      <c r="M123" s="1" t="s">
        <v>275</v>
      </c>
      <c r="N123" s="1" t="s">
        <v>281</v>
      </c>
      <c r="O123" s="1" t="s">
        <v>282</v>
      </c>
      <c r="P123" s="1" t="s">
        <v>2345</v>
      </c>
      <c r="Q123" s="1" t="s">
        <v>39</v>
      </c>
      <c r="R123" s="1" t="s">
        <v>260</v>
      </c>
    </row>
    <row r="124">
      <c r="A124" s="17" t="s">
        <v>256</v>
      </c>
      <c r="C124" s="1" t="s">
        <v>2250</v>
      </c>
      <c r="D124" s="1" t="s">
        <v>262</v>
      </c>
      <c r="E124" s="1" t="s">
        <v>263</v>
      </c>
      <c r="F124" s="1" t="s">
        <v>271</v>
      </c>
      <c r="G124" s="1" t="s">
        <v>2337</v>
      </c>
      <c r="H124" s="1" t="s">
        <v>14</v>
      </c>
      <c r="I124" s="1" t="s">
        <v>260</v>
      </c>
      <c r="J124" s="1">
        <v>11.0</v>
      </c>
      <c r="K124" s="39"/>
      <c r="L124" s="45"/>
    </row>
    <row r="125">
      <c r="A125" s="17" t="s">
        <v>256</v>
      </c>
      <c r="C125" s="1" t="s">
        <v>2250</v>
      </c>
      <c r="D125" s="1" t="s">
        <v>275</v>
      </c>
      <c r="E125" s="1" t="s">
        <v>33</v>
      </c>
      <c r="F125" s="1" t="s">
        <v>276</v>
      </c>
      <c r="G125" s="1" t="s">
        <v>2344</v>
      </c>
      <c r="H125" s="1" t="s">
        <v>44</v>
      </c>
      <c r="I125" s="1" t="s">
        <v>260</v>
      </c>
      <c r="J125" s="1">
        <v>12.0</v>
      </c>
      <c r="K125" s="39"/>
      <c r="L125" s="45"/>
    </row>
    <row r="126">
      <c r="A126" s="17" t="s">
        <v>256</v>
      </c>
      <c r="C126" s="1" t="s">
        <v>2250</v>
      </c>
      <c r="D126" s="1" t="s">
        <v>275</v>
      </c>
      <c r="E126" s="1" t="s">
        <v>279</v>
      </c>
      <c r="F126" s="1" t="s">
        <v>280</v>
      </c>
      <c r="G126" s="1" t="s">
        <v>33</v>
      </c>
      <c r="H126" s="1" t="s">
        <v>20</v>
      </c>
      <c r="I126" s="1" t="s">
        <v>260</v>
      </c>
      <c r="J126" s="1">
        <v>13.0</v>
      </c>
      <c r="K126" s="39"/>
      <c r="L126" s="45"/>
    </row>
    <row r="127">
      <c r="A127" s="17" t="s">
        <v>256</v>
      </c>
      <c r="C127" s="1" t="s">
        <v>2250</v>
      </c>
      <c r="D127" s="1" t="s">
        <v>275</v>
      </c>
      <c r="E127" s="1" t="s">
        <v>281</v>
      </c>
      <c r="F127" s="1" t="s">
        <v>282</v>
      </c>
      <c r="G127" s="1" t="s">
        <v>283</v>
      </c>
      <c r="H127" s="1" t="s">
        <v>39</v>
      </c>
      <c r="I127" s="1" t="s">
        <v>260</v>
      </c>
      <c r="J127" s="1">
        <v>14.0</v>
      </c>
      <c r="K127" s="39"/>
      <c r="L127" s="45"/>
    </row>
    <row r="128">
      <c r="A128" s="22" t="s">
        <v>256</v>
      </c>
      <c r="C128" s="1" t="s">
        <v>2250</v>
      </c>
      <c r="D128" s="1" t="s">
        <v>275</v>
      </c>
      <c r="E128" s="1" t="s">
        <v>281</v>
      </c>
      <c r="F128" s="1" t="s">
        <v>282</v>
      </c>
      <c r="G128" s="1" t="s">
        <v>2345</v>
      </c>
      <c r="H128" s="1" t="s">
        <v>39</v>
      </c>
      <c r="I128" s="1" t="s">
        <v>260</v>
      </c>
      <c r="J128" s="1">
        <v>15.0</v>
      </c>
      <c r="K128" s="39"/>
      <c r="L128" s="45"/>
    </row>
    <row r="129">
      <c r="A129" s="47"/>
      <c r="B129" s="47"/>
      <c r="C129" s="47"/>
      <c r="D129" s="47"/>
      <c r="E129" s="47"/>
      <c r="F129" s="47"/>
      <c r="G129" s="47"/>
      <c r="H129" s="47"/>
      <c r="I129" s="47"/>
      <c r="J129" s="47"/>
      <c r="K129" s="47"/>
      <c r="L129" s="48"/>
      <c r="M129" s="47"/>
      <c r="N129" s="47"/>
      <c r="O129" s="47"/>
      <c r="P129" s="47"/>
      <c r="Q129" s="47"/>
      <c r="R129" s="47"/>
      <c r="S129" s="47"/>
      <c r="T129" s="47"/>
      <c r="U129" s="47"/>
      <c r="V129" s="47"/>
      <c r="W129" s="47"/>
      <c r="X129" s="47"/>
      <c r="Y129" s="47"/>
      <c r="Z129" s="47"/>
    </row>
    <row r="130">
      <c r="A130" s="1" t="s">
        <v>284</v>
      </c>
      <c r="C130" s="1" t="s">
        <v>2346</v>
      </c>
      <c r="D130" s="1" t="s">
        <v>2347</v>
      </c>
      <c r="E130" s="1" t="s">
        <v>1205</v>
      </c>
      <c r="F130" s="1" t="s">
        <v>2348</v>
      </c>
      <c r="G130" s="1" t="s">
        <v>2349</v>
      </c>
      <c r="H130" s="1" t="s">
        <v>39</v>
      </c>
      <c r="I130" s="1" t="s">
        <v>289</v>
      </c>
      <c r="J130" s="1">
        <v>1.0</v>
      </c>
      <c r="K130" s="39"/>
      <c r="L130" s="2" t="s">
        <v>285</v>
      </c>
      <c r="M130" s="1" t="s">
        <v>286</v>
      </c>
      <c r="O130" s="1" t="s">
        <v>287</v>
      </c>
      <c r="Q130" s="1" t="s">
        <v>39</v>
      </c>
      <c r="R130" s="1" t="s">
        <v>289</v>
      </c>
    </row>
    <row r="131">
      <c r="A131" s="1" t="s">
        <v>284</v>
      </c>
      <c r="C131" s="1" t="s">
        <v>2346</v>
      </c>
      <c r="D131" s="1" t="s">
        <v>2350</v>
      </c>
      <c r="E131" s="1" t="s">
        <v>1086</v>
      </c>
      <c r="F131" s="1" t="s">
        <v>2351</v>
      </c>
      <c r="G131" s="1" t="s">
        <v>1428</v>
      </c>
      <c r="H131" s="1" t="s">
        <v>14</v>
      </c>
      <c r="I131" s="1" t="s">
        <v>289</v>
      </c>
      <c r="J131" s="1">
        <v>2.0</v>
      </c>
      <c r="K131" s="39"/>
      <c r="L131" s="2">
        <v>9.0</v>
      </c>
      <c r="M131" s="1" t="s">
        <v>290</v>
      </c>
      <c r="N131" s="1" t="s">
        <v>291</v>
      </c>
      <c r="O131" s="1" t="s">
        <v>292</v>
      </c>
      <c r="P131" s="1" t="s">
        <v>293</v>
      </c>
      <c r="Q131" s="1" t="s">
        <v>14</v>
      </c>
      <c r="R131" s="1" t="s">
        <v>289</v>
      </c>
    </row>
    <row r="132">
      <c r="A132" s="1" t="s">
        <v>284</v>
      </c>
      <c r="C132" s="1" t="s">
        <v>2346</v>
      </c>
      <c r="D132" s="1" t="s">
        <v>2350</v>
      </c>
      <c r="E132" s="1" t="s">
        <v>1086</v>
      </c>
      <c r="F132" s="1" t="s">
        <v>2352</v>
      </c>
      <c r="G132" s="1" t="s">
        <v>1428</v>
      </c>
      <c r="H132" s="1" t="s">
        <v>14</v>
      </c>
      <c r="I132" s="1" t="s">
        <v>289</v>
      </c>
      <c r="J132" s="1">
        <v>3.0</v>
      </c>
      <c r="K132" s="39"/>
      <c r="L132" s="2" t="s">
        <v>268</v>
      </c>
      <c r="M132" s="1" t="s">
        <v>290</v>
      </c>
      <c r="N132" s="1" t="s">
        <v>294</v>
      </c>
      <c r="O132" s="1" t="s">
        <v>295</v>
      </c>
      <c r="P132" s="1" t="s">
        <v>296</v>
      </c>
      <c r="Q132" s="1" t="s">
        <v>14</v>
      </c>
      <c r="R132" s="17" t="s">
        <v>289</v>
      </c>
    </row>
    <row r="133">
      <c r="A133" s="1" t="s">
        <v>284</v>
      </c>
      <c r="C133" s="1" t="s">
        <v>2346</v>
      </c>
      <c r="D133" s="1" t="s">
        <v>2350</v>
      </c>
      <c r="E133" s="1" t="s">
        <v>1086</v>
      </c>
      <c r="F133" s="1" t="s">
        <v>2353</v>
      </c>
      <c r="G133" s="1" t="s">
        <v>1428</v>
      </c>
      <c r="H133" s="1" t="s">
        <v>14</v>
      </c>
      <c r="I133" s="1" t="s">
        <v>289</v>
      </c>
      <c r="J133" s="1">
        <v>4.0</v>
      </c>
      <c r="K133" s="39"/>
      <c r="L133" s="2">
        <v>2.0</v>
      </c>
      <c r="M133" s="1" t="s">
        <v>290</v>
      </c>
      <c r="N133" s="55" t="s">
        <v>297</v>
      </c>
      <c r="O133" s="1" t="s">
        <v>298</v>
      </c>
      <c r="Q133" s="1" t="s">
        <v>14</v>
      </c>
      <c r="R133" s="17" t="s">
        <v>289</v>
      </c>
    </row>
    <row r="134">
      <c r="A134" s="1" t="s">
        <v>284</v>
      </c>
      <c r="C134" s="1" t="s">
        <v>2346</v>
      </c>
      <c r="D134" s="1" t="s">
        <v>2354</v>
      </c>
      <c r="E134" s="1" t="s">
        <v>1205</v>
      </c>
      <c r="F134" s="1" t="s">
        <v>2355</v>
      </c>
      <c r="G134" s="1" t="s">
        <v>2356</v>
      </c>
      <c r="H134" s="1" t="s">
        <v>39</v>
      </c>
      <c r="I134" s="1" t="s">
        <v>289</v>
      </c>
      <c r="J134" s="1">
        <v>5.0</v>
      </c>
      <c r="K134" s="39"/>
      <c r="L134" s="2" t="s">
        <v>299</v>
      </c>
      <c r="M134" s="1" t="s">
        <v>290</v>
      </c>
      <c r="N134" s="1" t="s">
        <v>33</v>
      </c>
      <c r="O134" s="1" t="s">
        <v>300</v>
      </c>
      <c r="P134" s="1" t="s">
        <v>33</v>
      </c>
      <c r="Q134" s="1" t="s">
        <v>14</v>
      </c>
      <c r="R134" s="22" t="s">
        <v>289</v>
      </c>
    </row>
    <row r="135">
      <c r="A135" s="1" t="s">
        <v>284</v>
      </c>
      <c r="C135" s="1" t="s">
        <v>2346</v>
      </c>
      <c r="D135" s="1" t="s">
        <v>2354</v>
      </c>
      <c r="E135" s="1" t="s">
        <v>1205</v>
      </c>
      <c r="F135" s="1" t="s">
        <v>1108</v>
      </c>
      <c r="G135" s="1" t="s">
        <v>2357</v>
      </c>
      <c r="H135" s="1" t="s">
        <v>39</v>
      </c>
      <c r="I135" s="1" t="s">
        <v>289</v>
      </c>
      <c r="J135" s="1">
        <v>6.0</v>
      </c>
      <c r="K135" s="39"/>
      <c r="L135" s="2" t="s">
        <v>301</v>
      </c>
      <c r="M135" s="1" t="s">
        <v>290</v>
      </c>
      <c r="N135" s="1" t="s">
        <v>33</v>
      </c>
      <c r="O135" s="1" t="s">
        <v>302</v>
      </c>
      <c r="P135" s="1" t="s">
        <v>33</v>
      </c>
      <c r="Q135" s="1" t="s">
        <v>14</v>
      </c>
      <c r="R135" s="22" t="s">
        <v>289</v>
      </c>
    </row>
    <row r="136">
      <c r="A136" s="1" t="s">
        <v>284</v>
      </c>
      <c r="C136" s="1" t="s">
        <v>2346</v>
      </c>
      <c r="D136" s="1" t="s">
        <v>2358</v>
      </c>
      <c r="E136" s="1" t="s">
        <v>1551</v>
      </c>
      <c r="F136" s="1" t="s">
        <v>1688</v>
      </c>
      <c r="G136" s="1" t="s">
        <v>1553</v>
      </c>
      <c r="H136" s="1" t="s">
        <v>39</v>
      </c>
      <c r="I136" s="1" t="s">
        <v>289</v>
      </c>
      <c r="J136" s="1">
        <v>7.0</v>
      </c>
      <c r="K136" s="39"/>
      <c r="L136" s="2">
        <v>13.0</v>
      </c>
      <c r="M136" s="1" t="s">
        <v>303</v>
      </c>
      <c r="N136" s="1" t="s">
        <v>33</v>
      </c>
      <c r="O136" s="1" t="s">
        <v>304</v>
      </c>
      <c r="P136" s="1" t="s">
        <v>33</v>
      </c>
      <c r="Q136" s="1" t="s">
        <v>44</v>
      </c>
      <c r="R136" s="22" t="s">
        <v>289</v>
      </c>
    </row>
    <row r="137">
      <c r="A137" s="1" t="s">
        <v>284</v>
      </c>
      <c r="C137" s="1" t="s">
        <v>2250</v>
      </c>
      <c r="D137" s="1" t="s">
        <v>286</v>
      </c>
      <c r="F137" s="1" t="s">
        <v>287</v>
      </c>
      <c r="H137" s="1" t="s">
        <v>39</v>
      </c>
      <c r="I137" s="1" t="s">
        <v>289</v>
      </c>
      <c r="J137" s="1">
        <v>8.0</v>
      </c>
      <c r="K137" s="39"/>
      <c r="L137" s="2" t="s">
        <v>2359</v>
      </c>
      <c r="M137" s="1" t="s">
        <v>306</v>
      </c>
      <c r="N137" s="1" t="s">
        <v>307</v>
      </c>
      <c r="O137" s="1" t="s">
        <v>482</v>
      </c>
      <c r="P137" s="1" t="s">
        <v>309</v>
      </c>
      <c r="Q137" s="1" t="s">
        <v>39</v>
      </c>
      <c r="R137" s="22" t="s">
        <v>289</v>
      </c>
    </row>
    <row r="138">
      <c r="A138" s="1" t="s">
        <v>284</v>
      </c>
      <c r="C138" s="1" t="s">
        <v>2250</v>
      </c>
      <c r="D138" s="1" t="s">
        <v>290</v>
      </c>
      <c r="E138" s="1" t="s">
        <v>291</v>
      </c>
      <c r="F138" s="1" t="s">
        <v>292</v>
      </c>
      <c r="G138" s="1" t="s">
        <v>293</v>
      </c>
      <c r="H138" s="1" t="s">
        <v>14</v>
      </c>
      <c r="I138" s="1" t="s">
        <v>289</v>
      </c>
      <c r="J138" s="1">
        <v>9.0</v>
      </c>
      <c r="K138" s="39"/>
      <c r="L138" s="2" t="s">
        <v>2360</v>
      </c>
      <c r="M138" s="1" t="s">
        <v>306</v>
      </c>
      <c r="N138" s="1" t="s">
        <v>307</v>
      </c>
      <c r="O138" s="1" t="s">
        <v>2361</v>
      </c>
      <c r="P138" s="1" t="s">
        <v>309</v>
      </c>
      <c r="Q138" s="1" t="s">
        <v>39</v>
      </c>
      <c r="R138" s="22" t="s">
        <v>289</v>
      </c>
    </row>
    <row r="139">
      <c r="A139" s="1" t="s">
        <v>284</v>
      </c>
      <c r="C139" s="1" t="s">
        <v>2250</v>
      </c>
      <c r="D139" s="1" t="s">
        <v>290</v>
      </c>
      <c r="E139" s="1" t="s">
        <v>294</v>
      </c>
      <c r="F139" s="1" t="s">
        <v>295</v>
      </c>
      <c r="G139" s="1" t="s">
        <v>296</v>
      </c>
      <c r="H139" s="1" t="s">
        <v>14</v>
      </c>
      <c r="I139" s="17" t="s">
        <v>289</v>
      </c>
      <c r="J139" s="1">
        <v>10.0</v>
      </c>
      <c r="K139" s="39"/>
      <c r="L139" s="2">
        <v>16.0</v>
      </c>
      <c r="M139" s="1" t="s">
        <v>310</v>
      </c>
      <c r="N139" s="1" t="s">
        <v>307</v>
      </c>
      <c r="O139" s="1" t="s">
        <v>311</v>
      </c>
      <c r="P139" s="1" t="s">
        <v>312</v>
      </c>
      <c r="Q139" s="1" t="s">
        <v>39</v>
      </c>
      <c r="R139" s="22" t="s">
        <v>289</v>
      </c>
    </row>
    <row r="140">
      <c r="A140" s="1" t="s">
        <v>284</v>
      </c>
      <c r="C140" s="1" t="s">
        <v>2250</v>
      </c>
      <c r="D140" s="1" t="s">
        <v>290</v>
      </c>
      <c r="E140" s="1" t="s">
        <v>33</v>
      </c>
      <c r="F140" s="1" t="s">
        <v>300</v>
      </c>
      <c r="G140" s="1" t="s">
        <v>33</v>
      </c>
      <c r="H140" s="1" t="s">
        <v>14</v>
      </c>
      <c r="I140" s="22" t="s">
        <v>289</v>
      </c>
      <c r="J140" s="1">
        <v>11.0</v>
      </c>
      <c r="K140" s="39"/>
      <c r="L140" s="2" t="s">
        <v>313</v>
      </c>
      <c r="M140" s="1" t="s">
        <v>310</v>
      </c>
      <c r="N140" s="1" t="s">
        <v>314</v>
      </c>
      <c r="O140" s="1" t="s">
        <v>315</v>
      </c>
      <c r="P140" s="1" t="s">
        <v>316</v>
      </c>
      <c r="Q140" s="1" t="s">
        <v>39</v>
      </c>
      <c r="R140" s="22" t="s">
        <v>289</v>
      </c>
    </row>
    <row r="141">
      <c r="A141" s="1" t="s">
        <v>284</v>
      </c>
      <c r="C141" s="1" t="s">
        <v>2250</v>
      </c>
      <c r="D141" s="1" t="s">
        <v>290</v>
      </c>
      <c r="E141" s="1" t="s">
        <v>33</v>
      </c>
      <c r="F141" s="1" t="s">
        <v>302</v>
      </c>
      <c r="G141" s="1" t="s">
        <v>33</v>
      </c>
      <c r="H141" s="1" t="s">
        <v>14</v>
      </c>
      <c r="I141" s="22" t="s">
        <v>289</v>
      </c>
      <c r="J141" s="1">
        <v>12.0</v>
      </c>
      <c r="K141" s="39"/>
      <c r="L141" s="2">
        <v>18.0</v>
      </c>
      <c r="M141" s="1" t="s">
        <v>310</v>
      </c>
      <c r="N141" s="1" t="s">
        <v>314</v>
      </c>
      <c r="O141" s="1" t="s">
        <v>317</v>
      </c>
      <c r="P141" s="1" t="s">
        <v>316</v>
      </c>
      <c r="Q141" s="1" t="s">
        <v>39</v>
      </c>
      <c r="R141" s="22" t="s">
        <v>289</v>
      </c>
    </row>
    <row r="142">
      <c r="A142" s="1" t="s">
        <v>284</v>
      </c>
      <c r="C142" s="1" t="s">
        <v>2250</v>
      </c>
      <c r="D142" s="1" t="s">
        <v>303</v>
      </c>
      <c r="E142" s="1" t="s">
        <v>33</v>
      </c>
      <c r="F142" s="1" t="s">
        <v>304</v>
      </c>
      <c r="G142" s="1" t="s">
        <v>33</v>
      </c>
      <c r="H142" s="1" t="s">
        <v>44</v>
      </c>
      <c r="I142" s="22" t="s">
        <v>289</v>
      </c>
      <c r="J142" s="1">
        <v>13.0</v>
      </c>
      <c r="K142" s="39"/>
      <c r="L142" s="45"/>
    </row>
    <row r="143">
      <c r="A143" s="1" t="s">
        <v>284</v>
      </c>
      <c r="C143" s="1" t="s">
        <v>2250</v>
      </c>
      <c r="D143" s="1" t="s">
        <v>306</v>
      </c>
      <c r="E143" s="1" t="s">
        <v>307</v>
      </c>
      <c r="F143" s="1" t="s">
        <v>482</v>
      </c>
      <c r="G143" s="1" t="s">
        <v>309</v>
      </c>
      <c r="H143" s="1" t="s">
        <v>39</v>
      </c>
      <c r="I143" s="22" t="s">
        <v>289</v>
      </c>
      <c r="J143" s="1">
        <v>14.0</v>
      </c>
      <c r="K143" s="39"/>
      <c r="L143" s="45"/>
    </row>
    <row r="144">
      <c r="A144" s="1" t="s">
        <v>284</v>
      </c>
      <c r="C144" s="1" t="s">
        <v>2250</v>
      </c>
      <c r="D144" s="1" t="s">
        <v>306</v>
      </c>
      <c r="E144" s="1" t="s">
        <v>307</v>
      </c>
      <c r="F144" s="1" t="s">
        <v>2361</v>
      </c>
      <c r="G144" s="1" t="s">
        <v>309</v>
      </c>
      <c r="H144" s="1" t="s">
        <v>39</v>
      </c>
      <c r="I144" s="22" t="s">
        <v>289</v>
      </c>
      <c r="J144" s="1">
        <v>15.0</v>
      </c>
      <c r="K144" s="39"/>
      <c r="L144" s="45"/>
    </row>
    <row r="145">
      <c r="A145" s="1" t="s">
        <v>284</v>
      </c>
      <c r="C145" s="1" t="s">
        <v>2250</v>
      </c>
      <c r="D145" s="1" t="s">
        <v>310</v>
      </c>
      <c r="E145" s="1" t="s">
        <v>307</v>
      </c>
      <c r="F145" s="1" t="s">
        <v>311</v>
      </c>
      <c r="G145" s="1" t="s">
        <v>312</v>
      </c>
      <c r="H145" s="1" t="s">
        <v>39</v>
      </c>
      <c r="I145" s="22" t="s">
        <v>289</v>
      </c>
      <c r="J145" s="1">
        <v>16.0</v>
      </c>
      <c r="K145" s="39"/>
      <c r="L145" s="45"/>
    </row>
    <row r="146">
      <c r="A146" s="1" t="s">
        <v>284</v>
      </c>
      <c r="C146" s="1" t="s">
        <v>2250</v>
      </c>
      <c r="D146" s="1" t="s">
        <v>310</v>
      </c>
      <c r="E146" s="1" t="s">
        <v>314</v>
      </c>
      <c r="F146" s="1" t="s">
        <v>315</v>
      </c>
      <c r="G146" s="1" t="s">
        <v>316</v>
      </c>
      <c r="H146" s="1" t="s">
        <v>39</v>
      </c>
      <c r="I146" s="22" t="s">
        <v>289</v>
      </c>
      <c r="J146" s="1">
        <v>17.0</v>
      </c>
      <c r="K146" s="39"/>
      <c r="L146" s="45"/>
    </row>
    <row r="147">
      <c r="A147" s="1" t="s">
        <v>284</v>
      </c>
      <c r="C147" s="1" t="s">
        <v>2250</v>
      </c>
      <c r="D147" s="1" t="s">
        <v>310</v>
      </c>
      <c r="E147" s="1" t="s">
        <v>314</v>
      </c>
      <c r="F147" s="1" t="s">
        <v>317</v>
      </c>
      <c r="G147" s="1" t="s">
        <v>316</v>
      </c>
      <c r="H147" s="1" t="s">
        <v>39</v>
      </c>
      <c r="I147" s="22" t="s">
        <v>289</v>
      </c>
      <c r="J147" s="1">
        <v>18.0</v>
      </c>
      <c r="K147" s="39"/>
      <c r="L147" s="45"/>
    </row>
    <row r="148">
      <c r="A148" s="47"/>
      <c r="B148" s="47"/>
      <c r="C148" s="47"/>
      <c r="D148" s="47"/>
      <c r="E148" s="47"/>
      <c r="F148" s="47"/>
      <c r="G148" s="47"/>
      <c r="H148" s="47"/>
      <c r="I148" s="47"/>
      <c r="J148" s="47"/>
      <c r="K148" s="47"/>
      <c r="L148" s="48"/>
      <c r="M148" s="47"/>
      <c r="N148" s="47"/>
      <c r="O148" s="47"/>
      <c r="P148" s="47"/>
      <c r="Q148" s="47"/>
      <c r="R148" s="47"/>
      <c r="S148" s="47"/>
      <c r="T148" s="47"/>
      <c r="U148" s="47"/>
      <c r="V148" s="47"/>
      <c r="W148" s="47"/>
      <c r="X148" s="47"/>
      <c r="Y148" s="47"/>
      <c r="Z148" s="47"/>
    </row>
    <row r="149">
      <c r="A149" s="1" t="s">
        <v>2202</v>
      </c>
      <c r="C149" s="1" t="s">
        <v>2303</v>
      </c>
      <c r="D149" s="1" t="s">
        <v>2362</v>
      </c>
      <c r="E149" s="1" t="s">
        <v>2363</v>
      </c>
      <c r="F149" s="1" t="s">
        <v>2364</v>
      </c>
      <c r="H149" s="1" t="s">
        <v>39</v>
      </c>
      <c r="I149" s="1" t="s">
        <v>488</v>
      </c>
      <c r="J149" s="1">
        <v>1.0</v>
      </c>
      <c r="K149" s="39"/>
      <c r="L149" s="2">
        <v>2.0</v>
      </c>
      <c r="M149" s="1" t="s">
        <v>2365</v>
      </c>
      <c r="N149" s="1" t="s">
        <v>2366</v>
      </c>
      <c r="O149" s="1" t="s">
        <v>2367</v>
      </c>
      <c r="P149" s="1" t="s">
        <v>2368</v>
      </c>
      <c r="Q149" s="1" t="s">
        <v>54</v>
      </c>
      <c r="R149" s="1" t="s">
        <v>488</v>
      </c>
    </row>
    <row r="150">
      <c r="A150" s="1" t="s">
        <v>2202</v>
      </c>
      <c r="C150" s="1" t="s">
        <v>2250</v>
      </c>
      <c r="D150" s="1" t="s">
        <v>2365</v>
      </c>
      <c r="E150" s="1" t="s">
        <v>2366</v>
      </c>
      <c r="F150" s="1" t="s">
        <v>2367</v>
      </c>
      <c r="G150" s="1" t="s">
        <v>2368</v>
      </c>
      <c r="H150" s="1" t="s">
        <v>54</v>
      </c>
      <c r="I150" s="1" t="s">
        <v>488</v>
      </c>
      <c r="J150" s="1">
        <v>2.0</v>
      </c>
      <c r="K150" s="39"/>
      <c r="L150" s="2" t="s">
        <v>2369</v>
      </c>
      <c r="M150" s="1" t="s">
        <v>2365</v>
      </c>
      <c r="N150" s="1" t="s">
        <v>412</v>
      </c>
      <c r="O150" s="1" t="s">
        <v>2370</v>
      </c>
      <c r="P150" s="1" t="s">
        <v>2371</v>
      </c>
      <c r="Q150" s="1" t="s">
        <v>54</v>
      </c>
      <c r="R150" s="1" t="s">
        <v>488</v>
      </c>
    </row>
    <row r="151">
      <c r="A151" s="1" t="s">
        <v>2202</v>
      </c>
      <c r="C151" s="1" t="s">
        <v>2250</v>
      </c>
      <c r="D151" s="1" t="s">
        <v>2365</v>
      </c>
      <c r="E151" s="1" t="s">
        <v>412</v>
      </c>
      <c r="F151" s="1" t="s">
        <v>2370</v>
      </c>
      <c r="G151" s="1" t="s">
        <v>2371</v>
      </c>
      <c r="H151" s="1" t="s">
        <v>54</v>
      </c>
      <c r="I151" s="1" t="s">
        <v>488</v>
      </c>
      <c r="J151" s="1">
        <v>3.0</v>
      </c>
      <c r="K151" s="39"/>
      <c r="L151" s="2">
        <v>4.0</v>
      </c>
      <c r="M151" s="1" t="s">
        <v>2365</v>
      </c>
      <c r="N151" s="1" t="s">
        <v>412</v>
      </c>
      <c r="O151" s="1" t="s">
        <v>2372</v>
      </c>
      <c r="P151" s="1" t="s">
        <v>2373</v>
      </c>
      <c r="Q151" s="1" t="s">
        <v>39</v>
      </c>
      <c r="R151" s="1" t="s">
        <v>488</v>
      </c>
    </row>
    <row r="152">
      <c r="A152" s="1" t="s">
        <v>2202</v>
      </c>
      <c r="C152" s="1" t="s">
        <v>2250</v>
      </c>
      <c r="D152" s="1" t="s">
        <v>2365</v>
      </c>
      <c r="E152" s="1" t="s">
        <v>412</v>
      </c>
      <c r="F152" s="1" t="s">
        <v>2372</v>
      </c>
      <c r="G152" s="1" t="s">
        <v>2373</v>
      </c>
      <c r="H152" s="1" t="s">
        <v>39</v>
      </c>
      <c r="I152" s="1" t="s">
        <v>488</v>
      </c>
      <c r="J152" s="1">
        <v>4.0</v>
      </c>
      <c r="K152" s="39"/>
      <c r="L152" s="45"/>
    </row>
    <row r="153">
      <c r="A153" s="47"/>
      <c r="B153" s="47"/>
      <c r="C153" s="47"/>
      <c r="D153" s="47"/>
      <c r="E153" s="47"/>
      <c r="F153" s="47"/>
      <c r="G153" s="47"/>
      <c r="H153" s="47"/>
      <c r="I153" s="47"/>
      <c r="J153" s="47"/>
      <c r="K153" s="47"/>
      <c r="L153" s="48"/>
      <c r="M153" s="47"/>
      <c r="N153" s="47"/>
      <c r="O153" s="47"/>
      <c r="P153" s="47"/>
      <c r="Q153" s="47"/>
      <c r="R153" s="47"/>
      <c r="S153" s="47"/>
      <c r="T153" s="47"/>
      <c r="U153" s="47"/>
      <c r="V153" s="47"/>
      <c r="W153" s="47"/>
      <c r="X153" s="47"/>
      <c r="Y153" s="47"/>
      <c r="Z153" s="47"/>
    </row>
    <row r="154">
      <c r="A154" s="1" t="s">
        <v>318</v>
      </c>
      <c r="C154" s="1" t="s">
        <v>2346</v>
      </c>
      <c r="D154" s="1" t="s">
        <v>2374</v>
      </c>
      <c r="F154" s="1" t="s">
        <v>2375</v>
      </c>
      <c r="G154" s="1" t="s">
        <v>2376</v>
      </c>
      <c r="H154" s="8"/>
      <c r="I154" s="1" t="s">
        <v>322</v>
      </c>
      <c r="J154" s="1">
        <v>1.0</v>
      </c>
      <c r="K154" s="39"/>
      <c r="L154" s="2">
        <v>5.0</v>
      </c>
      <c r="M154" s="1" t="s">
        <v>319</v>
      </c>
      <c r="N154" s="1" t="s">
        <v>33</v>
      </c>
      <c r="O154" s="1" t="s">
        <v>320</v>
      </c>
      <c r="P154" s="1" t="s">
        <v>33</v>
      </c>
      <c r="Q154" s="1" t="s">
        <v>44</v>
      </c>
      <c r="R154" s="1" t="s">
        <v>322</v>
      </c>
    </row>
    <row r="155">
      <c r="A155" s="1" t="s">
        <v>318</v>
      </c>
      <c r="C155" s="1" t="s">
        <v>2346</v>
      </c>
      <c r="D155" s="1" t="s">
        <v>1998</v>
      </c>
      <c r="E155" s="1" t="s">
        <v>1205</v>
      </c>
      <c r="F155" s="1" t="s">
        <v>2377</v>
      </c>
      <c r="G155" s="1" t="s">
        <v>2378</v>
      </c>
      <c r="H155" s="1" t="s">
        <v>39</v>
      </c>
      <c r="I155" s="1" t="s">
        <v>322</v>
      </c>
      <c r="J155" s="1">
        <v>2.0</v>
      </c>
      <c r="K155" s="39"/>
      <c r="L155" s="2">
        <v>6.0</v>
      </c>
      <c r="M155" s="1" t="s">
        <v>323</v>
      </c>
      <c r="N155" s="1" t="s">
        <v>205</v>
      </c>
      <c r="O155" s="1" t="s">
        <v>324</v>
      </c>
      <c r="P155" s="1" t="s">
        <v>325</v>
      </c>
      <c r="Q155" s="1" t="s">
        <v>20</v>
      </c>
      <c r="R155" s="1" t="s">
        <v>322</v>
      </c>
    </row>
    <row r="156">
      <c r="A156" s="1" t="s">
        <v>318</v>
      </c>
      <c r="C156" s="1" t="s">
        <v>2346</v>
      </c>
      <c r="D156" s="1" t="s">
        <v>1998</v>
      </c>
      <c r="E156" s="1" t="s">
        <v>1205</v>
      </c>
      <c r="F156" s="1" t="s">
        <v>2379</v>
      </c>
      <c r="G156" s="1" t="s">
        <v>2380</v>
      </c>
      <c r="H156" s="1" t="s">
        <v>39</v>
      </c>
      <c r="I156" s="1" t="s">
        <v>322</v>
      </c>
      <c r="J156" s="1">
        <v>3.0</v>
      </c>
      <c r="K156" s="39"/>
      <c r="L156" s="2">
        <v>7.0</v>
      </c>
      <c r="M156" s="1" t="s">
        <v>326</v>
      </c>
      <c r="N156" s="1" t="s">
        <v>327</v>
      </c>
      <c r="O156" s="1" t="s">
        <v>328</v>
      </c>
      <c r="P156" s="1" t="s">
        <v>33</v>
      </c>
      <c r="Q156" s="1" t="s">
        <v>20</v>
      </c>
      <c r="R156" s="1" t="s">
        <v>322</v>
      </c>
    </row>
    <row r="157">
      <c r="A157" s="1" t="s">
        <v>318</v>
      </c>
      <c r="C157" s="1" t="s">
        <v>2346</v>
      </c>
      <c r="D157" s="1" t="s">
        <v>2003</v>
      </c>
      <c r="E157" s="1" t="s">
        <v>1205</v>
      </c>
      <c r="F157" s="1" t="s">
        <v>2381</v>
      </c>
      <c r="G157" s="1" t="s">
        <v>2382</v>
      </c>
      <c r="H157" s="1" t="s">
        <v>39</v>
      </c>
      <c r="I157" s="1" t="s">
        <v>322</v>
      </c>
      <c r="J157" s="1">
        <v>4.0</v>
      </c>
      <c r="K157" s="39"/>
      <c r="L157" s="2">
        <v>8.0</v>
      </c>
      <c r="M157" s="1" t="s">
        <v>326</v>
      </c>
      <c r="N157" s="1" t="s">
        <v>329</v>
      </c>
      <c r="O157" s="1" t="s">
        <v>416</v>
      </c>
      <c r="P157" s="1" t="s">
        <v>331</v>
      </c>
      <c r="Q157" s="1" t="s">
        <v>39</v>
      </c>
      <c r="R157" s="1" t="s">
        <v>322</v>
      </c>
    </row>
    <row r="158">
      <c r="A158" s="1" t="s">
        <v>318</v>
      </c>
      <c r="C158" s="1" t="s">
        <v>2250</v>
      </c>
      <c r="D158" s="1" t="s">
        <v>319</v>
      </c>
      <c r="E158" s="1" t="s">
        <v>33</v>
      </c>
      <c r="F158" s="1" t="s">
        <v>320</v>
      </c>
      <c r="G158" s="1" t="s">
        <v>33</v>
      </c>
      <c r="H158" s="1" t="s">
        <v>44</v>
      </c>
      <c r="I158" s="1" t="s">
        <v>322</v>
      </c>
      <c r="J158" s="1">
        <v>5.0</v>
      </c>
      <c r="K158" s="39"/>
      <c r="L158" s="2" t="s">
        <v>332</v>
      </c>
      <c r="M158" s="1" t="s">
        <v>326</v>
      </c>
      <c r="N158" s="1" t="s">
        <v>333</v>
      </c>
      <c r="O158" s="1" t="s">
        <v>334</v>
      </c>
      <c r="P158" s="1" t="s">
        <v>2383</v>
      </c>
      <c r="Q158" s="1" t="s">
        <v>39</v>
      </c>
      <c r="R158" s="1" t="s">
        <v>322</v>
      </c>
    </row>
    <row r="159">
      <c r="A159" s="1" t="s">
        <v>318</v>
      </c>
      <c r="C159" s="1" t="s">
        <v>2250</v>
      </c>
      <c r="D159" s="1" t="s">
        <v>323</v>
      </c>
      <c r="E159" s="1" t="s">
        <v>205</v>
      </c>
      <c r="F159" s="1" t="s">
        <v>324</v>
      </c>
      <c r="G159" s="1" t="s">
        <v>325</v>
      </c>
      <c r="H159" s="1" t="s">
        <v>20</v>
      </c>
      <c r="I159" s="1" t="s">
        <v>322</v>
      </c>
      <c r="J159" s="1">
        <v>6.0</v>
      </c>
      <c r="K159" s="39"/>
      <c r="L159" s="2" t="s">
        <v>268</v>
      </c>
      <c r="M159" s="1" t="s">
        <v>326</v>
      </c>
      <c r="N159" s="1" t="s">
        <v>333</v>
      </c>
      <c r="O159" s="1" t="s">
        <v>336</v>
      </c>
      <c r="P159" s="1" t="s">
        <v>337</v>
      </c>
      <c r="Q159" s="1" t="s">
        <v>39</v>
      </c>
      <c r="R159" s="1" t="s">
        <v>322</v>
      </c>
    </row>
    <row r="160">
      <c r="A160" s="1" t="s">
        <v>318</v>
      </c>
      <c r="C160" s="1" t="s">
        <v>2250</v>
      </c>
      <c r="D160" s="1" t="s">
        <v>326</v>
      </c>
      <c r="E160" s="1" t="s">
        <v>327</v>
      </c>
      <c r="F160" s="1" t="s">
        <v>328</v>
      </c>
      <c r="G160" s="1" t="s">
        <v>33</v>
      </c>
      <c r="H160" s="1" t="s">
        <v>20</v>
      </c>
      <c r="I160" s="1" t="s">
        <v>322</v>
      </c>
      <c r="J160" s="1">
        <v>7.0</v>
      </c>
      <c r="K160" s="39"/>
      <c r="L160" s="2" t="s">
        <v>338</v>
      </c>
      <c r="M160" s="1" t="s">
        <v>326</v>
      </c>
      <c r="N160" s="1" t="s">
        <v>333</v>
      </c>
      <c r="O160" s="1" t="s">
        <v>339</v>
      </c>
      <c r="P160" s="1" t="s">
        <v>33</v>
      </c>
      <c r="Q160" s="1" t="s">
        <v>39</v>
      </c>
      <c r="R160" s="1" t="s">
        <v>322</v>
      </c>
    </row>
    <row r="161">
      <c r="A161" s="1" t="s">
        <v>318</v>
      </c>
      <c r="C161" s="1" t="s">
        <v>2250</v>
      </c>
      <c r="D161" s="1" t="s">
        <v>326</v>
      </c>
      <c r="E161" s="1" t="s">
        <v>329</v>
      </c>
      <c r="F161" s="1" t="s">
        <v>416</v>
      </c>
      <c r="G161" s="1" t="s">
        <v>331</v>
      </c>
      <c r="H161" s="1" t="s">
        <v>39</v>
      </c>
      <c r="I161" s="1" t="s">
        <v>322</v>
      </c>
      <c r="J161" s="1">
        <v>8.0</v>
      </c>
      <c r="K161" s="39"/>
      <c r="L161" s="45"/>
    </row>
    <row r="162">
      <c r="A162" s="1" t="s">
        <v>318</v>
      </c>
      <c r="C162" s="1" t="s">
        <v>2250</v>
      </c>
      <c r="D162" s="1" t="s">
        <v>326</v>
      </c>
      <c r="E162" s="1" t="s">
        <v>333</v>
      </c>
      <c r="F162" s="1" t="s">
        <v>334</v>
      </c>
      <c r="G162" s="1" t="s">
        <v>2383</v>
      </c>
      <c r="H162" s="1" t="s">
        <v>39</v>
      </c>
      <c r="I162" s="1" t="s">
        <v>322</v>
      </c>
      <c r="J162" s="1">
        <v>9.0</v>
      </c>
      <c r="K162" s="39"/>
      <c r="L162" s="45"/>
    </row>
    <row r="163">
      <c r="A163" s="1" t="s">
        <v>318</v>
      </c>
      <c r="C163" s="1" t="s">
        <v>2250</v>
      </c>
      <c r="D163" s="1" t="s">
        <v>326</v>
      </c>
      <c r="E163" s="1" t="s">
        <v>333</v>
      </c>
      <c r="F163" s="1" t="s">
        <v>336</v>
      </c>
      <c r="G163" s="1" t="s">
        <v>337</v>
      </c>
      <c r="H163" s="1" t="s">
        <v>39</v>
      </c>
      <c r="I163" s="1" t="s">
        <v>322</v>
      </c>
      <c r="J163" s="1">
        <v>10.0</v>
      </c>
      <c r="K163" s="39"/>
      <c r="L163" s="45"/>
    </row>
    <row r="164">
      <c r="A164" s="1" t="s">
        <v>318</v>
      </c>
      <c r="C164" s="1" t="s">
        <v>2250</v>
      </c>
      <c r="D164" s="1" t="s">
        <v>326</v>
      </c>
      <c r="E164" s="1" t="s">
        <v>333</v>
      </c>
      <c r="F164" s="1" t="s">
        <v>339</v>
      </c>
      <c r="G164" s="1" t="s">
        <v>33</v>
      </c>
      <c r="H164" s="1" t="s">
        <v>39</v>
      </c>
      <c r="I164" s="1" t="s">
        <v>322</v>
      </c>
      <c r="J164" s="1">
        <v>11.0</v>
      </c>
      <c r="K164" s="39"/>
      <c r="L164" s="45"/>
    </row>
    <row r="165">
      <c r="A165" s="46"/>
      <c r="B165" s="47"/>
      <c r="C165" s="47"/>
      <c r="D165" s="47"/>
      <c r="E165" s="47"/>
      <c r="F165" s="47"/>
      <c r="G165" s="47"/>
      <c r="H165" s="47"/>
      <c r="I165" s="47"/>
      <c r="J165" s="47"/>
      <c r="K165" s="47"/>
      <c r="L165" s="48"/>
      <c r="M165" s="47"/>
      <c r="N165" s="47"/>
      <c r="O165" s="47"/>
      <c r="P165" s="47"/>
      <c r="Q165" s="47"/>
      <c r="R165" s="47"/>
      <c r="S165" s="47"/>
      <c r="T165" s="47"/>
      <c r="U165" s="47"/>
      <c r="V165" s="47"/>
      <c r="W165" s="47"/>
      <c r="X165" s="47"/>
      <c r="Y165" s="47"/>
      <c r="Z165" s="47"/>
    </row>
    <row r="166">
      <c r="A166" s="18" t="s">
        <v>341</v>
      </c>
      <c r="C166" s="1" t="s">
        <v>2384</v>
      </c>
      <c r="D166" s="22" t="s">
        <v>343</v>
      </c>
      <c r="E166" s="22" t="s">
        <v>2385</v>
      </c>
      <c r="F166" s="22" t="s">
        <v>2386</v>
      </c>
      <c r="G166" s="22" t="s">
        <v>2387</v>
      </c>
      <c r="H166" s="22" t="s">
        <v>2388</v>
      </c>
      <c r="I166" s="22" t="s">
        <v>2389</v>
      </c>
      <c r="J166" s="1">
        <v>1.0</v>
      </c>
      <c r="K166" s="39"/>
      <c r="L166" s="2" t="s">
        <v>342</v>
      </c>
      <c r="M166" s="22" t="s">
        <v>343</v>
      </c>
      <c r="N166" s="1" t="s">
        <v>344</v>
      </c>
      <c r="O166" s="1" t="s">
        <v>345</v>
      </c>
      <c r="P166" s="1" t="s">
        <v>346</v>
      </c>
      <c r="Q166" s="1" t="s">
        <v>54</v>
      </c>
      <c r="R166" s="1" t="s">
        <v>347</v>
      </c>
    </row>
    <row r="167">
      <c r="A167" s="18" t="s">
        <v>341</v>
      </c>
      <c r="C167" s="1" t="s">
        <v>2384</v>
      </c>
      <c r="D167" s="22" t="s">
        <v>343</v>
      </c>
      <c r="E167" s="22" t="s">
        <v>2390</v>
      </c>
      <c r="F167" s="22" t="s">
        <v>349</v>
      </c>
      <c r="G167" s="22" t="s">
        <v>2391</v>
      </c>
      <c r="H167" s="22" t="s">
        <v>2388</v>
      </c>
      <c r="I167" s="22" t="s">
        <v>2389</v>
      </c>
      <c r="J167" s="1">
        <v>2.0</v>
      </c>
      <c r="K167" s="39"/>
      <c r="L167" s="2" t="s">
        <v>268</v>
      </c>
      <c r="M167" s="22" t="s">
        <v>343</v>
      </c>
      <c r="N167" s="1" t="s">
        <v>348</v>
      </c>
      <c r="O167" s="22" t="s">
        <v>349</v>
      </c>
      <c r="P167" s="1" t="s">
        <v>350</v>
      </c>
      <c r="Q167" s="1" t="s">
        <v>54</v>
      </c>
      <c r="R167" s="1" t="s">
        <v>347</v>
      </c>
    </row>
    <row r="168">
      <c r="A168" s="18" t="s">
        <v>341</v>
      </c>
      <c r="C168" s="1" t="s">
        <v>2384</v>
      </c>
      <c r="D168" s="27" t="s">
        <v>351</v>
      </c>
      <c r="E168" s="22"/>
      <c r="F168" s="22" t="s">
        <v>352</v>
      </c>
      <c r="G168" s="22" t="s">
        <v>353</v>
      </c>
      <c r="H168" s="22" t="s">
        <v>54</v>
      </c>
      <c r="I168" s="22" t="s">
        <v>2389</v>
      </c>
      <c r="J168" s="1">
        <v>3.0</v>
      </c>
      <c r="K168" s="39"/>
      <c r="L168" s="2" t="s">
        <v>299</v>
      </c>
      <c r="M168" s="27" t="s">
        <v>351</v>
      </c>
      <c r="N168" s="22"/>
      <c r="O168" s="22" t="s">
        <v>352</v>
      </c>
      <c r="P168" s="22" t="s">
        <v>353</v>
      </c>
      <c r="Q168" s="22" t="s">
        <v>54</v>
      </c>
      <c r="R168" s="1" t="s">
        <v>347</v>
      </c>
    </row>
    <row r="169">
      <c r="A169" s="18" t="s">
        <v>341</v>
      </c>
      <c r="C169" s="1" t="s">
        <v>2384</v>
      </c>
      <c r="D169" s="22" t="s">
        <v>356</v>
      </c>
      <c r="E169" s="22"/>
      <c r="F169" s="22" t="s">
        <v>357</v>
      </c>
      <c r="G169" s="22" t="s">
        <v>358</v>
      </c>
      <c r="H169" s="22" t="s">
        <v>39</v>
      </c>
      <c r="I169" s="22" t="s">
        <v>2389</v>
      </c>
      <c r="J169" s="1">
        <v>4.0</v>
      </c>
      <c r="K169" s="39"/>
      <c r="L169" s="1">
        <v>12.0</v>
      </c>
      <c r="M169" s="1" t="s">
        <v>354</v>
      </c>
      <c r="N169" s="1" t="s">
        <v>33</v>
      </c>
      <c r="O169" s="1" t="s">
        <v>355</v>
      </c>
      <c r="P169" s="1" t="s">
        <v>33</v>
      </c>
      <c r="Q169" s="1" t="s">
        <v>91</v>
      </c>
      <c r="R169" s="1" t="s">
        <v>347</v>
      </c>
    </row>
    <row r="170">
      <c r="A170" s="18" t="s">
        <v>341</v>
      </c>
      <c r="C170" s="1" t="s">
        <v>2384</v>
      </c>
      <c r="D170" s="22" t="s">
        <v>359</v>
      </c>
      <c r="E170" s="22"/>
      <c r="F170" s="22" t="s">
        <v>360</v>
      </c>
      <c r="G170" s="22" t="s">
        <v>361</v>
      </c>
      <c r="H170" s="22" t="s">
        <v>39</v>
      </c>
      <c r="I170" s="22" t="s">
        <v>2389</v>
      </c>
      <c r="J170" s="1">
        <v>5.0</v>
      </c>
      <c r="K170" s="39"/>
      <c r="L170" s="1">
        <v>4.0</v>
      </c>
      <c r="M170" s="22" t="s">
        <v>356</v>
      </c>
      <c r="N170" s="22"/>
      <c r="O170" s="22" t="s">
        <v>357</v>
      </c>
      <c r="P170" s="22" t="s">
        <v>358</v>
      </c>
      <c r="Q170" s="22" t="s">
        <v>39</v>
      </c>
      <c r="R170" s="1" t="s">
        <v>347</v>
      </c>
    </row>
    <row r="171">
      <c r="A171" s="18" t="s">
        <v>341</v>
      </c>
      <c r="C171" s="1" t="s">
        <v>2384</v>
      </c>
      <c r="D171" s="22" t="s">
        <v>362</v>
      </c>
      <c r="E171" s="22"/>
      <c r="F171" s="22" t="s">
        <v>2392</v>
      </c>
      <c r="G171" s="22" t="s">
        <v>364</v>
      </c>
      <c r="H171" s="22" t="s">
        <v>39</v>
      </c>
      <c r="I171" s="22" t="s">
        <v>2389</v>
      </c>
      <c r="J171" s="1">
        <v>6.0</v>
      </c>
      <c r="K171" s="39"/>
      <c r="L171" s="1">
        <v>5.0</v>
      </c>
      <c r="M171" s="22" t="s">
        <v>359</v>
      </c>
      <c r="N171" s="22"/>
      <c r="O171" s="22" t="s">
        <v>360</v>
      </c>
      <c r="P171" s="22" t="s">
        <v>361</v>
      </c>
      <c r="Q171" s="22" t="s">
        <v>39</v>
      </c>
      <c r="R171" s="1" t="s">
        <v>347</v>
      </c>
    </row>
    <row r="172">
      <c r="A172" s="18" t="s">
        <v>341</v>
      </c>
      <c r="C172" s="1" t="s">
        <v>2384</v>
      </c>
      <c r="D172" s="22" t="s">
        <v>362</v>
      </c>
      <c r="E172" s="22"/>
      <c r="F172" s="22" t="s">
        <v>365</v>
      </c>
      <c r="G172" s="22" t="s">
        <v>366</v>
      </c>
      <c r="H172" s="22" t="s">
        <v>39</v>
      </c>
      <c r="I172" s="22" t="s">
        <v>2389</v>
      </c>
      <c r="J172" s="1">
        <v>7.0</v>
      </c>
      <c r="K172" s="39"/>
      <c r="L172" s="1">
        <v>6.0</v>
      </c>
      <c r="M172" s="22" t="s">
        <v>362</v>
      </c>
      <c r="N172" s="22"/>
      <c r="O172" s="22" t="s">
        <v>2392</v>
      </c>
      <c r="P172" s="22" t="s">
        <v>364</v>
      </c>
      <c r="Q172" s="22" t="s">
        <v>39</v>
      </c>
      <c r="R172" s="1" t="s">
        <v>347</v>
      </c>
    </row>
    <row r="173">
      <c r="A173" s="18" t="s">
        <v>341</v>
      </c>
      <c r="C173" s="1" t="s">
        <v>2384</v>
      </c>
      <c r="D173" s="22" t="s">
        <v>362</v>
      </c>
      <c r="E173" s="22"/>
      <c r="F173" s="22" t="s">
        <v>368</v>
      </c>
      <c r="G173" s="22" t="s">
        <v>361</v>
      </c>
      <c r="H173" s="22" t="s">
        <v>39</v>
      </c>
      <c r="I173" s="22" t="s">
        <v>2389</v>
      </c>
      <c r="J173" s="1">
        <v>8.0</v>
      </c>
      <c r="K173" s="39"/>
      <c r="L173" s="1">
        <v>7.0</v>
      </c>
      <c r="M173" s="22" t="s">
        <v>362</v>
      </c>
      <c r="N173" s="22"/>
      <c r="O173" s="22" t="s">
        <v>365</v>
      </c>
      <c r="P173" s="22" t="s">
        <v>366</v>
      </c>
      <c r="Q173" s="22" t="s">
        <v>39</v>
      </c>
      <c r="R173" s="1" t="s">
        <v>347</v>
      </c>
    </row>
    <row r="174">
      <c r="A174" s="18" t="s">
        <v>341</v>
      </c>
      <c r="C174" s="1" t="s">
        <v>2250</v>
      </c>
      <c r="D174" s="1" t="s">
        <v>2393</v>
      </c>
      <c r="E174" s="1" t="s">
        <v>344</v>
      </c>
      <c r="F174" s="1" t="s">
        <v>345</v>
      </c>
      <c r="G174" s="1" t="s">
        <v>346</v>
      </c>
      <c r="H174" s="1" t="s">
        <v>54</v>
      </c>
      <c r="I174" s="1" t="s">
        <v>347</v>
      </c>
      <c r="J174" s="1">
        <v>9.0</v>
      </c>
      <c r="K174" s="39"/>
      <c r="L174" s="1">
        <v>8.0</v>
      </c>
      <c r="M174" s="22" t="s">
        <v>362</v>
      </c>
      <c r="N174" s="22"/>
      <c r="O174" s="22" t="s">
        <v>368</v>
      </c>
      <c r="P174" s="22" t="s">
        <v>361</v>
      </c>
      <c r="Q174" s="22" t="s">
        <v>39</v>
      </c>
      <c r="R174" s="1" t="s">
        <v>347</v>
      </c>
    </row>
    <row r="175">
      <c r="A175" s="18" t="s">
        <v>341</v>
      </c>
      <c r="C175" s="1" t="s">
        <v>2250</v>
      </c>
      <c r="D175" s="1" t="s">
        <v>2393</v>
      </c>
      <c r="E175" s="1" t="s">
        <v>348</v>
      </c>
      <c r="F175" s="1" t="s">
        <v>2394</v>
      </c>
      <c r="G175" s="1" t="s">
        <v>350</v>
      </c>
      <c r="H175" s="1" t="s">
        <v>54</v>
      </c>
      <c r="I175" s="1" t="s">
        <v>347</v>
      </c>
      <c r="J175" s="1">
        <v>10.0</v>
      </c>
      <c r="K175" s="39"/>
    </row>
    <row r="176">
      <c r="A176" s="18" t="s">
        <v>341</v>
      </c>
      <c r="C176" s="1" t="s">
        <v>2250</v>
      </c>
      <c r="D176" s="1" t="s">
        <v>2393</v>
      </c>
      <c r="E176" s="1" t="s">
        <v>2395</v>
      </c>
      <c r="F176" s="1" t="s">
        <v>2396</v>
      </c>
      <c r="G176" s="1" t="s">
        <v>2397</v>
      </c>
      <c r="H176" s="1" t="s">
        <v>54</v>
      </c>
      <c r="I176" s="1" t="s">
        <v>347</v>
      </c>
      <c r="J176" s="1">
        <v>11.0</v>
      </c>
      <c r="K176" s="39"/>
    </row>
    <row r="177">
      <c r="A177" s="18" t="s">
        <v>341</v>
      </c>
      <c r="C177" s="1" t="s">
        <v>2250</v>
      </c>
      <c r="D177" s="1" t="s">
        <v>354</v>
      </c>
      <c r="E177" s="1" t="s">
        <v>33</v>
      </c>
      <c r="F177" s="1" t="s">
        <v>355</v>
      </c>
      <c r="G177" s="1" t="s">
        <v>33</v>
      </c>
      <c r="H177" s="1" t="s">
        <v>91</v>
      </c>
      <c r="I177" s="1" t="s">
        <v>347</v>
      </c>
      <c r="J177" s="1">
        <v>12.0</v>
      </c>
      <c r="K177" s="39"/>
    </row>
    <row r="178">
      <c r="A178" s="47"/>
      <c r="B178" s="47"/>
      <c r="C178" s="47"/>
      <c r="D178" s="47"/>
      <c r="E178" s="47"/>
      <c r="F178" s="47"/>
      <c r="G178" s="47"/>
      <c r="H178" s="47"/>
      <c r="I178" s="47"/>
      <c r="J178" s="47"/>
      <c r="K178" s="47"/>
      <c r="L178" s="48"/>
      <c r="M178" s="47"/>
      <c r="N178" s="47"/>
      <c r="O178" s="47"/>
      <c r="P178" s="47"/>
      <c r="Q178" s="47"/>
      <c r="R178" s="47"/>
      <c r="S178" s="47"/>
      <c r="T178" s="47"/>
      <c r="U178" s="47"/>
      <c r="V178" s="47"/>
      <c r="W178" s="47"/>
      <c r="X178" s="47"/>
      <c r="Y178" s="47"/>
      <c r="Z178" s="47"/>
    </row>
    <row r="179">
      <c r="A179" s="1" t="s">
        <v>369</v>
      </c>
      <c r="C179" s="1" t="s">
        <v>2277</v>
      </c>
      <c r="D179" s="1" t="s">
        <v>2398</v>
      </c>
      <c r="E179" s="1" t="s">
        <v>2399</v>
      </c>
      <c r="F179" s="1" t="s">
        <v>2400</v>
      </c>
      <c r="G179" s="1" t="s">
        <v>2401</v>
      </c>
      <c r="H179" s="1" t="s">
        <v>54</v>
      </c>
      <c r="I179" s="1" t="s">
        <v>372</v>
      </c>
      <c r="J179" s="1">
        <v>1.0</v>
      </c>
      <c r="K179" s="39"/>
      <c r="L179" s="2">
        <v>2.0</v>
      </c>
      <c r="M179" s="1" t="s">
        <v>370</v>
      </c>
      <c r="N179" s="1" t="s">
        <v>205</v>
      </c>
      <c r="O179" s="1" t="s">
        <v>2402</v>
      </c>
      <c r="P179" s="1" t="s">
        <v>33</v>
      </c>
      <c r="Q179" s="1" t="s">
        <v>91</v>
      </c>
      <c r="R179" s="1" t="s">
        <v>372</v>
      </c>
    </row>
    <row r="180">
      <c r="A180" s="1" t="s">
        <v>369</v>
      </c>
      <c r="C180" s="1" t="s">
        <v>2250</v>
      </c>
      <c r="D180" s="1" t="s">
        <v>370</v>
      </c>
      <c r="E180" s="1" t="s">
        <v>205</v>
      </c>
      <c r="F180" s="1" t="s">
        <v>2402</v>
      </c>
      <c r="G180" s="1" t="s">
        <v>33</v>
      </c>
      <c r="H180" s="1" t="s">
        <v>91</v>
      </c>
      <c r="I180" s="1" t="s">
        <v>372</v>
      </c>
      <c r="J180" s="1">
        <v>2.0</v>
      </c>
      <c r="K180" s="39"/>
      <c r="L180" s="2">
        <v>3.0</v>
      </c>
      <c r="M180" s="1" t="s">
        <v>373</v>
      </c>
      <c r="N180" s="1" t="s">
        <v>2403</v>
      </c>
      <c r="O180" s="1" t="s">
        <v>375</v>
      </c>
      <c r="P180" s="1" t="s">
        <v>2404</v>
      </c>
      <c r="Q180" s="1" t="s">
        <v>91</v>
      </c>
      <c r="R180" s="1" t="s">
        <v>372</v>
      </c>
    </row>
    <row r="181">
      <c r="A181" s="1" t="s">
        <v>369</v>
      </c>
      <c r="C181" s="1" t="s">
        <v>2250</v>
      </c>
      <c r="D181" s="1" t="s">
        <v>373</v>
      </c>
      <c r="E181" s="1" t="s">
        <v>2403</v>
      </c>
      <c r="F181" s="1" t="s">
        <v>375</v>
      </c>
      <c r="G181" s="1" t="s">
        <v>2404</v>
      </c>
      <c r="H181" s="1" t="s">
        <v>91</v>
      </c>
      <c r="I181" s="1" t="s">
        <v>372</v>
      </c>
      <c r="J181" s="1">
        <v>3.0</v>
      </c>
      <c r="K181" s="39"/>
      <c r="L181" s="2">
        <v>4.0</v>
      </c>
      <c r="M181" s="1" t="s">
        <v>373</v>
      </c>
      <c r="N181" s="1" t="s">
        <v>2403</v>
      </c>
      <c r="O181" s="1" t="s">
        <v>377</v>
      </c>
      <c r="P181" s="1" t="s">
        <v>33</v>
      </c>
      <c r="Q181" s="1" t="s">
        <v>91</v>
      </c>
      <c r="R181" s="1" t="s">
        <v>372</v>
      </c>
    </row>
    <row r="182">
      <c r="A182" s="1" t="s">
        <v>369</v>
      </c>
      <c r="C182" s="1" t="s">
        <v>2250</v>
      </c>
      <c r="D182" s="1" t="s">
        <v>373</v>
      </c>
      <c r="E182" s="1" t="s">
        <v>2403</v>
      </c>
      <c r="F182" s="1" t="s">
        <v>377</v>
      </c>
      <c r="G182" s="1" t="s">
        <v>33</v>
      </c>
      <c r="H182" s="1" t="s">
        <v>91</v>
      </c>
      <c r="I182" s="1" t="s">
        <v>372</v>
      </c>
      <c r="J182" s="1">
        <v>4.0</v>
      </c>
      <c r="K182" s="39"/>
      <c r="L182" s="45"/>
    </row>
    <row r="183">
      <c r="A183" s="47"/>
      <c r="B183" s="47"/>
      <c r="C183" s="47"/>
      <c r="D183" s="47"/>
      <c r="E183" s="47"/>
      <c r="F183" s="47"/>
      <c r="G183" s="47"/>
      <c r="H183" s="47"/>
      <c r="I183" s="47"/>
      <c r="J183" s="47"/>
      <c r="K183" s="47"/>
      <c r="L183" s="48"/>
      <c r="M183" s="47"/>
      <c r="N183" s="47"/>
      <c r="O183" s="47"/>
      <c r="P183" s="47"/>
      <c r="Q183" s="47"/>
      <c r="R183" s="47"/>
      <c r="S183" s="47"/>
      <c r="T183" s="47"/>
      <c r="U183" s="47"/>
      <c r="V183" s="47"/>
      <c r="W183" s="47"/>
      <c r="X183" s="47"/>
      <c r="Y183" s="47"/>
      <c r="Z183" s="47"/>
    </row>
    <row r="184">
      <c r="A184" s="1" t="s">
        <v>378</v>
      </c>
      <c r="C184" s="1" t="s">
        <v>2277</v>
      </c>
      <c r="D184" s="1" t="s">
        <v>2405</v>
      </c>
      <c r="E184" s="1" t="s">
        <v>2406</v>
      </c>
      <c r="F184" s="1" t="s">
        <v>2407</v>
      </c>
      <c r="G184" s="1" t="s">
        <v>2408</v>
      </c>
      <c r="H184" s="1" t="s">
        <v>14</v>
      </c>
      <c r="I184" s="1" t="s">
        <v>382</v>
      </c>
      <c r="J184" s="1">
        <v>1.0</v>
      </c>
      <c r="K184" s="39"/>
      <c r="L184" s="2">
        <v>12.0</v>
      </c>
      <c r="M184" s="1" t="s">
        <v>379</v>
      </c>
      <c r="N184" s="1" t="s">
        <v>380</v>
      </c>
      <c r="O184" s="1" t="s">
        <v>381</v>
      </c>
      <c r="P184" s="1" t="s">
        <v>33</v>
      </c>
      <c r="Q184" s="1" t="s">
        <v>44</v>
      </c>
      <c r="R184" s="1" t="s">
        <v>382</v>
      </c>
    </row>
    <row r="185">
      <c r="A185" s="1" t="s">
        <v>378</v>
      </c>
      <c r="C185" s="1" t="s">
        <v>2277</v>
      </c>
      <c r="D185" s="1" t="s">
        <v>2409</v>
      </c>
      <c r="E185" s="1" t="s">
        <v>2410</v>
      </c>
      <c r="F185" s="1" t="s">
        <v>2411</v>
      </c>
      <c r="H185" s="1" t="s">
        <v>54</v>
      </c>
      <c r="I185" s="1" t="s">
        <v>382</v>
      </c>
      <c r="J185" s="1">
        <v>2.0</v>
      </c>
      <c r="K185" s="39"/>
      <c r="L185" s="2">
        <v>13.0</v>
      </c>
      <c r="M185" s="1" t="s">
        <v>379</v>
      </c>
      <c r="N185" s="1" t="s">
        <v>383</v>
      </c>
      <c r="O185" s="1" t="s">
        <v>384</v>
      </c>
      <c r="P185" s="1" t="s">
        <v>385</v>
      </c>
      <c r="Q185" s="1" t="s">
        <v>91</v>
      </c>
      <c r="R185" s="1" t="s">
        <v>382</v>
      </c>
    </row>
    <row r="186">
      <c r="A186" s="1" t="s">
        <v>378</v>
      </c>
      <c r="C186" s="1" t="s">
        <v>2277</v>
      </c>
      <c r="D186" s="1" t="s">
        <v>2409</v>
      </c>
      <c r="E186" s="1" t="s">
        <v>2410</v>
      </c>
      <c r="F186" s="1" t="s">
        <v>2412</v>
      </c>
      <c r="G186" s="1" t="s">
        <v>2413</v>
      </c>
      <c r="H186" s="1" t="s">
        <v>54</v>
      </c>
      <c r="I186" s="1" t="s">
        <v>382</v>
      </c>
      <c r="J186" s="1">
        <v>3.0</v>
      </c>
      <c r="K186" s="39"/>
      <c r="L186" s="2">
        <v>14.0</v>
      </c>
      <c r="M186" s="1" t="s">
        <v>379</v>
      </c>
      <c r="N186" s="1" t="s">
        <v>386</v>
      </c>
      <c r="O186" s="1" t="s">
        <v>387</v>
      </c>
      <c r="P186" s="1" t="s">
        <v>388</v>
      </c>
      <c r="Q186" s="1" t="s">
        <v>91</v>
      </c>
      <c r="R186" s="1" t="s">
        <v>382</v>
      </c>
    </row>
    <row r="187">
      <c r="A187" s="1" t="s">
        <v>378</v>
      </c>
      <c r="C187" s="1" t="s">
        <v>2277</v>
      </c>
      <c r="D187" s="1" t="s">
        <v>2409</v>
      </c>
      <c r="E187" s="1" t="s">
        <v>399</v>
      </c>
      <c r="F187" s="1" t="s">
        <v>400</v>
      </c>
      <c r="G187" s="1" t="s">
        <v>2414</v>
      </c>
      <c r="H187" s="1" t="s">
        <v>54</v>
      </c>
      <c r="I187" s="1" t="s">
        <v>382</v>
      </c>
      <c r="J187" s="1">
        <v>4.0</v>
      </c>
      <c r="K187" s="39"/>
      <c r="L187" s="2" t="s">
        <v>202</v>
      </c>
      <c r="M187" s="1" t="s">
        <v>389</v>
      </c>
      <c r="N187" s="1" t="s">
        <v>383</v>
      </c>
      <c r="O187" s="1" t="s">
        <v>390</v>
      </c>
      <c r="P187" s="1" t="s">
        <v>391</v>
      </c>
      <c r="Q187" s="1" t="s">
        <v>91</v>
      </c>
      <c r="R187" s="1" t="s">
        <v>382</v>
      </c>
    </row>
    <row r="188">
      <c r="A188" s="1" t="s">
        <v>378</v>
      </c>
      <c r="C188" s="1" t="s">
        <v>2277</v>
      </c>
      <c r="D188" s="1" t="s">
        <v>2415</v>
      </c>
      <c r="E188" s="1" t="s">
        <v>2416</v>
      </c>
      <c r="F188" s="1" t="s">
        <v>586</v>
      </c>
      <c r="H188" s="1" t="s">
        <v>44</v>
      </c>
      <c r="I188" s="1" t="s">
        <v>382</v>
      </c>
      <c r="J188" s="1">
        <v>5.0</v>
      </c>
      <c r="K188" s="39"/>
      <c r="L188" s="2">
        <v>2.0</v>
      </c>
      <c r="M188" s="1" t="s">
        <v>392</v>
      </c>
      <c r="N188" s="1" t="s">
        <v>2410</v>
      </c>
      <c r="O188" s="1" t="s">
        <v>2411</v>
      </c>
      <c r="Q188" s="1" t="s">
        <v>54</v>
      </c>
      <c r="R188" s="1" t="s">
        <v>382</v>
      </c>
    </row>
    <row r="189">
      <c r="A189" s="1" t="s">
        <v>378</v>
      </c>
      <c r="C189" s="1" t="s">
        <v>2277</v>
      </c>
      <c r="D189" s="1" t="s">
        <v>2415</v>
      </c>
      <c r="E189" s="1" t="s">
        <v>170</v>
      </c>
      <c r="F189" s="1" t="s">
        <v>2417</v>
      </c>
      <c r="H189" s="1" t="s">
        <v>54</v>
      </c>
      <c r="I189" s="1" t="s">
        <v>382</v>
      </c>
      <c r="J189" s="1">
        <v>6.0</v>
      </c>
      <c r="K189" s="39"/>
      <c r="L189" s="2" t="s">
        <v>395</v>
      </c>
      <c r="M189" s="1" t="s">
        <v>392</v>
      </c>
      <c r="N189" s="1" t="s">
        <v>33</v>
      </c>
      <c r="O189" s="1" t="s">
        <v>396</v>
      </c>
      <c r="P189" s="1" t="s">
        <v>397</v>
      </c>
      <c r="Q189" s="1" t="s">
        <v>91</v>
      </c>
      <c r="R189" s="1" t="s">
        <v>382</v>
      </c>
    </row>
    <row r="190">
      <c r="A190" s="1" t="s">
        <v>378</v>
      </c>
      <c r="C190" s="1" t="s">
        <v>2277</v>
      </c>
      <c r="D190" s="1" t="s">
        <v>2418</v>
      </c>
      <c r="E190" s="1" t="s">
        <v>422</v>
      </c>
      <c r="F190" s="1" t="s">
        <v>2341</v>
      </c>
      <c r="H190" s="1" t="s">
        <v>39</v>
      </c>
      <c r="I190" s="1" t="s">
        <v>382</v>
      </c>
      <c r="J190" s="1">
        <v>7.0</v>
      </c>
      <c r="K190" s="39"/>
      <c r="L190" s="2">
        <v>4.0</v>
      </c>
      <c r="M190" s="1" t="s">
        <v>398</v>
      </c>
      <c r="N190" s="1" t="s">
        <v>399</v>
      </c>
      <c r="O190" s="1" t="s">
        <v>400</v>
      </c>
      <c r="P190" s="1" t="s">
        <v>2414</v>
      </c>
      <c r="Q190" s="1" t="s">
        <v>54</v>
      </c>
      <c r="R190" s="1" t="s">
        <v>382</v>
      </c>
    </row>
    <row r="191">
      <c r="A191" s="1" t="s">
        <v>378</v>
      </c>
      <c r="C191" s="1" t="s">
        <v>2277</v>
      </c>
      <c r="D191" s="1" t="s">
        <v>2418</v>
      </c>
      <c r="E191" s="1" t="s">
        <v>422</v>
      </c>
      <c r="F191" s="1" t="s">
        <v>2419</v>
      </c>
      <c r="H191" s="1" t="s">
        <v>39</v>
      </c>
      <c r="I191" s="1" t="s">
        <v>382</v>
      </c>
      <c r="J191" s="1">
        <v>8.0</v>
      </c>
      <c r="K191" s="39"/>
      <c r="L191" s="2" t="s">
        <v>402</v>
      </c>
      <c r="M191" s="1" t="s">
        <v>403</v>
      </c>
      <c r="N191" s="1" t="s">
        <v>33</v>
      </c>
      <c r="O191" s="1" t="s">
        <v>2420</v>
      </c>
      <c r="P191" s="1" t="s">
        <v>33</v>
      </c>
      <c r="Q191" s="1" t="s">
        <v>44</v>
      </c>
      <c r="R191" s="1" t="s">
        <v>382</v>
      </c>
    </row>
    <row r="192">
      <c r="A192" s="1" t="s">
        <v>378</v>
      </c>
      <c r="C192" s="1" t="s">
        <v>2277</v>
      </c>
      <c r="D192" s="1" t="s">
        <v>2418</v>
      </c>
      <c r="E192" s="1" t="s">
        <v>422</v>
      </c>
      <c r="F192" s="1" t="s">
        <v>2421</v>
      </c>
      <c r="H192" s="1" t="s">
        <v>39</v>
      </c>
      <c r="I192" s="1" t="s">
        <v>382</v>
      </c>
      <c r="J192" s="1">
        <v>9.0</v>
      </c>
      <c r="K192" s="39"/>
      <c r="L192" s="2" t="s">
        <v>59</v>
      </c>
      <c r="M192" s="1" t="s">
        <v>403</v>
      </c>
      <c r="N192" s="1" t="s">
        <v>405</v>
      </c>
      <c r="O192" s="1" t="s">
        <v>406</v>
      </c>
      <c r="P192" s="1" t="s">
        <v>33</v>
      </c>
      <c r="Q192" s="1" t="s">
        <v>20</v>
      </c>
      <c r="R192" s="1" t="s">
        <v>382</v>
      </c>
    </row>
    <row r="193">
      <c r="A193" s="1" t="s">
        <v>378</v>
      </c>
      <c r="C193" s="1" t="s">
        <v>2277</v>
      </c>
      <c r="D193" s="1" t="s">
        <v>2422</v>
      </c>
      <c r="E193" s="1" t="s">
        <v>422</v>
      </c>
      <c r="F193" s="1" t="s">
        <v>2423</v>
      </c>
      <c r="H193" s="1" t="s">
        <v>39</v>
      </c>
      <c r="I193" s="1" t="s">
        <v>382</v>
      </c>
      <c r="J193" s="1">
        <v>10.0</v>
      </c>
      <c r="K193" s="39"/>
      <c r="L193" s="2">
        <v>19.0</v>
      </c>
      <c r="M193" s="1" t="s">
        <v>407</v>
      </c>
      <c r="N193" s="1" t="s">
        <v>408</v>
      </c>
      <c r="O193" s="1" t="s">
        <v>409</v>
      </c>
      <c r="P193" s="1" t="s">
        <v>410</v>
      </c>
      <c r="Q193" s="1" t="s">
        <v>39</v>
      </c>
      <c r="R193" s="1" t="s">
        <v>382</v>
      </c>
    </row>
    <row r="194">
      <c r="A194" s="1" t="s">
        <v>378</v>
      </c>
      <c r="C194" s="1" t="s">
        <v>2277</v>
      </c>
      <c r="D194" s="1" t="s">
        <v>2422</v>
      </c>
      <c r="E194" s="1" t="s">
        <v>422</v>
      </c>
      <c r="F194" s="1" t="s">
        <v>2424</v>
      </c>
      <c r="H194" s="1" t="s">
        <v>2425</v>
      </c>
      <c r="I194" s="1" t="s">
        <v>382</v>
      </c>
      <c r="J194" s="1">
        <v>11.0</v>
      </c>
      <c r="K194" s="39"/>
      <c r="L194" s="2" t="s">
        <v>411</v>
      </c>
      <c r="M194" s="1" t="s">
        <v>407</v>
      </c>
      <c r="N194" s="1" t="s">
        <v>412</v>
      </c>
      <c r="O194" s="1" t="s">
        <v>413</v>
      </c>
      <c r="P194" s="1" t="s">
        <v>414</v>
      </c>
      <c r="Q194" s="1" t="s">
        <v>39</v>
      </c>
      <c r="R194" s="1" t="s">
        <v>382</v>
      </c>
    </row>
    <row r="195">
      <c r="A195" s="1" t="s">
        <v>378</v>
      </c>
      <c r="C195" s="1" t="s">
        <v>2250</v>
      </c>
      <c r="D195" s="1" t="s">
        <v>379</v>
      </c>
      <c r="E195" s="1" t="s">
        <v>380</v>
      </c>
      <c r="F195" s="1" t="s">
        <v>381</v>
      </c>
      <c r="G195" s="1" t="s">
        <v>33</v>
      </c>
      <c r="H195" s="1" t="s">
        <v>44</v>
      </c>
      <c r="I195" s="1" t="s">
        <v>382</v>
      </c>
      <c r="J195" s="1">
        <v>12.0</v>
      </c>
      <c r="K195" s="39"/>
      <c r="L195" s="2">
        <v>21.0</v>
      </c>
      <c r="M195" s="1" t="s">
        <v>407</v>
      </c>
      <c r="N195" s="1" t="s">
        <v>415</v>
      </c>
      <c r="O195" s="1" t="s">
        <v>416</v>
      </c>
      <c r="P195" s="1" t="s">
        <v>331</v>
      </c>
      <c r="Q195" s="1" t="s">
        <v>39</v>
      </c>
      <c r="R195" s="1" t="s">
        <v>382</v>
      </c>
    </row>
    <row r="196">
      <c r="A196" s="1" t="s">
        <v>378</v>
      </c>
      <c r="C196" s="1" t="s">
        <v>2250</v>
      </c>
      <c r="D196" s="1" t="s">
        <v>379</v>
      </c>
      <c r="E196" s="1" t="s">
        <v>383</v>
      </c>
      <c r="F196" s="1" t="s">
        <v>384</v>
      </c>
      <c r="G196" s="1" t="s">
        <v>385</v>
      </c>
      <c r="H196" s="1" t="s">
        <v>91</v>
      </c>
      <c r="I196" s="1" t="s">
        <v>382</v>
      </c>
      <c r="J196" s="1">
        <v>13.0</v>
      </c>
      <c r="K196" s="39"/>
      <c r="L196" s="2">
        <v>22.0</v>
      </c>
      <c r="M196" s="1" t="s">
        <v>417</v>
      </c>
      <c r="N196" s="1" t="s">
        <v>418</v>
      </c>
      <c r="O196" s="1" t="s">
        <v>419</v>
      </c>
      <c r="P196" s="1" t="s">
        <v>420</v>
      </c>
      <c r="Q196" s="1" t="s">
        <v>39</v>
      </c>
      <c r="R196" s="1" t="s">
        <v>382</v>
      </c>
    </row>
    <row r="197">
      <c r="A197" s="1" t="s">
        <v>378</v>
      </c>
      <c r="C197" s="1" t="s">
        <v>2250</v>
      </c>
      <c r="D197" s="1" t="s">
        <v>379</v>
      </c>
      <c r="E197" s="1" t="s">
        <v>386</v>
      </c>
      <c r="F197" s="1" t="s">
        <v>387</v>
      </c>
      <c r="G197" s="1" t="s">
        <v>388</v>
      </c>
      <c r="H197" s="1" t="s">
        <v>91</v>
      </c>
      <c r="I197" s="1" t="s">
        <v>382</v>
      </c>
      <c r="J197" s="1">
        <v>14.0</v>
      </c>
      <c r="K197" s="39"/>
      <c r="L197" s="2">
        <v>10.0</v>
      </c>
      <c r="M197" s="1" t="s">
        <v>421</v>
      </c>
      <c r="N197" s="1" t="s">
        <v>422</v>
      </c>
      <c r="O197" s="1" t="s">
        <v>423</v>
      </c>
      <c r="Q197" s="1" t="s">
        <v>39</v>
      </c>
      <c r="R197" s="1" t="s">
        <v>382</v>
      </c>
    </row>
    <row r="198">
      <c r="A198" s="1" t="s">
        <v>378</v>
      </c>
      <c r="C198" s="1" t="s">
        <v>2250</v>
      </c>
      <c r="D198" s="1" t="s">
        <v>389</v>
      </c>
      <c r="E198" s="1" t="s">
        <v>383</v>
      </c>
      <c r="F198" s="1" t="s">
        <v>390</v>
      </c>
      <c r="G198" s="1" t="s">
        <v>391</v>
      </c>
      <c r="H198" s="1" t="s">
        <v>91</v>
      </c>
      <c r="I198" s="1" t="s">
        <v>382</v>
      </c>
      <c r="J198" s="1">
        <v>15.0</v>
      </c>
      <c r="K198" s="39"/>
      <c r="L198" s="2">
        <v>11.0</v>
      </c>
      <c r="M198" s="1" t="s">
        <v>2426</v>
      </c>
      <c r="N198" s="1" t="s">
        <v>422</v>
      </c>
      <c r="O198" s="1" t="s">
        <v>2424</v>
      </c>
      <c r="Q198" s="1" t="s">
        <v>2425</v>
      </c>
      <c r="R198" s="1" t="s">
        <v>382</v>
      </c>
    </row>
    <row r="199">
      <c r="A199" s="1" t="s">
        <v>378</v>
      </c>
      <c r="C199" s="1" t="s">
        <v>2250</v>
      </c>
      <c r="D199" s="1" t="s">
        <v>389</v>
      </c>
      <c r="E199" s="1" t="s">
        <v>33</v>
      </c>
      <c r="F199" s="1" t="s">
        <v>396</v>
      </c>
      <c r="G199" s="1" t="s">
        <v>397</v>
      </c>
      <c r="H199" s="1" t="s">
        <v>91</v>
      </c>
      <c r="I199" s="1" t="s">
        <v>382</v>
      </c>
      <c r="J199" s="1">
        <v>16.0</v>
      </c>
      <c r="K199" s="39"/>
      <c r="L199" s="45"/>
    </row>
    <row r="200">
      <c r="A200" s="1" t="s">
        <v>378</v>
      </c>
      <c r="C200" s="1" t="s">
        <v>2250</v>
      </c>
      <c r="D200" s="1" t="s">
        <v>2427</v>
      </c>
      <c r="E200" s="1" t="s">
        <v>33</v>
      </c>
      <c r="F200" s="1" t="s">
        <v>2420</v>
      </c>
      <c r="G200" s="1" t="s">
        <v>33</v>
      </c>
      <c r="H200" s="1" t="s">
        <v>44</v>
      </c>
      <c r="I200" s="1" t="s">
        <v>382</v>
      </c>
      <c r="J200" s="1">
        <v>17.0</v>
      </c>
      <c r="K200" s="39"/>
      <c r="L200" s="45"/>
    </row>
    <row r="201">
      <c r="A201" s="1" t="s">
        <v>378</v>
      </c>
      <c r="C201" s="1" t="s">
        <v>2250</v>
      </c>
      <c r="D201" s="1" t="s">
        <v>2427</v>
      </c>
      <c r="E201" s="1" t="s">
        <v>405</v>
      </c>
      <c r="F201" s="1" t="s">
        <v>406</v>
      </c>
      <c r="G201" s="1" t="s">
        <v>33</v>
      </c>
      <c r="H201" s="1" t="s">
        <v>20</v>
      </c>
      <c r="I201" s="1" t="s">
        <v>382</v>
      </c>
      <c r="J201" s="1">
        <v>18.0</v>
      </c>
      <c r="K201" s="39"/>
      <c r="L201" s="45"/>
    </row>
    <row r="202">
      <c r="A202" s="1" t="s">
        <v>378</v>
      </c>
      <c r="C202" s="1" t="s">
        <v>2250</v>
      </c>
      <c r="D202" s="1" t="s">
        <v>2428</v>
      </c>
      <c r="E202" s="1" t="s">
        <v>408</v>
      </c>
      <c r="F202" s="1" t="s">
        <v>409</v>
      </c>
      <c r="G202" s="1" t="s">
        <v>410</v>
      </c>
      <c r="H202" s="1" t="s">
        <v>39</v>
      </c>
      <c r="I202" s="1" t="s">
        <v>382</v>
      </c>
      <c r="J202" s="1">
        <v>19.0</v>
      </c>
      <c r="K202" s="39"/>
      <c r="L202" s="45"/>
    </row>
    <row r="203">
      <c r="A203" s="1" t="s">
        <v>378</v>
      </c>
      <c r="C203" s="1" t="s">
        <v>2250</v>
      </c>
      <c r="D203" s="1" t="s">
        <v>2428</v>
      </c>
      <c r="E203" s="1" t="s">
        <v>412</v>
      </c>
      <c r="F203" s="1" t="s">
        <v>413</v>
      </c>
      <c r="G203" s="1" t="s">
        <v>414</v>
      </c>
      <c r="H203" s="1" t="s">
        <v>39</v>
      </c>
      <c r="I203" s="1" t="s">
        <v>382</v>
      </c>
      <c r="J203" s="1">
        <v>20.0</v>
      </c>
      <c r="K203" s="39"/>
      <c r="L203" s="45"/>
    </row>
    <row r="204">
      <c r="A204" s="1" t="s">
        <v>378</v>
      </c>
      <c r="C204" s="1" t="s">
        <v>2250</v>
      </c>
      <c r="D204" s="1" t="s">
        <v>2428</v>
      </c>
      <c r="E204" s="1" t="s">
        <v>415</v>
      </c>
      <c r="F204" s="1" t="s">
        <v>416</v>
      </c>
      <c r="G204" s="1" t="s">
        <v>331</v>
      </c>
      <c r="H204" s="1" t="s">
        <v>39</v>
      </c>
      <c r="I204" s="1" t="s">
        <v>382</v>
      </c>
      <c r="J204" s="1">
        <v>21.0</v>
      </c>
      <c r="K204" s="39"/>
      <c r="L204" s="45"/>
    </row>
    <row r="205">
      <c r="A205" s="1" t="s">
        <v>378</v>
      </c>
      <c r="C205" s="1" t="s">
        <v>2250</v>
      </c>
      <c r="D205" s="1" t="s">
        <v>2429</v>
      </c>
      <c r="E205" s="1" t="s">
        <v>418</v>
      </c>
      <c r="F205" s="1" t="s">
        <v>419</v>
      </c>
      <c r="G205" s="1" t="s">
        <v>420</v>
      </c>
      <c r="H205" s="1" t="s">
        <v>39</v>
      </c>
      <c r="I205" s="1" t="s">
        <v>382</v>
      </c>
      <c r="J205" s="1">
        <v>22.0</v>
      </c>
      <c r="K205" s="39"/>
      <c r="L205" s="45"/>
    </row>
    <row r="206">
      <c r="A206" s="47"/>
      <c r="B206" s="47"/>
      <c r="C206" s="47"/>
      <c r="D206" s="47"/>
      <c r="E206" s="47"/>
      <c r="F206" s="47"/>
      <c r="G206" s="47"/>
      <c r="H206" s="47"/>
      <c r="I206" s="47"/>
      <c r="J206" s="47"/>
      <c r="K206" s="47"/>
      <c r="L206" s="48"/>
      <c r="M206" s="47"/>
      <c r="N206" s="47"/>
      <c r="O206" s="47"/>
      <c r="P206" s="47"/>
      <c r="Q206" s="47"/>
      <c r="R206" s="47"/>
      <c r="S206" s="47"/>
      <c r="T206" s="47"/>
      <c r="U206" s="47"/>
      <c r="V206" s="47"/>
      <c r="W206" s="47"/>
      <c r="X206" s="47"/>
      <c r="Y206" s="47"/>
      <c r="Z206" s="47"/>
    </row>
    <row r="207">
      <c r="A207" s="1" t="s">
        <v>424</v>
      </c>
      <c r="C207" s="1" t="s">
        <v>2236</v>
      </c>
      <c r="D207" s="1" t="s">
        <v>2430</v>
      </c>
      <c r="E207" s="1" t="s">
        <v>2431</v>
      </c>
      <c r="F207" s="1" t="s">
        <v>2432</v>
      </c>
      <c r="G207" s="1" t="s">
        <v>2433</v>
      </c>
      <c r="H207" s="1" t="s">
        <v>39</v>
      </c>
      <c r="I207" s="1" t="s">
        <v>428</v>
      </c>
      <c r="J207" s="1">
        <v>1.0</v>
      </c>
      <c r="K207" s="39"/>
      <c r="L207" s="2">
        <v>7.0</v>
      </c>
      <c r="M207" s="1" t="s">
        <v>425</v>
      </c>
      <c r="N207" s="1" t="s">
        <v>426</v>
      </c>
      <c r="O207" s="1" t="s">
        <v>52</v>
      </c>
      <c r="P207" s="1" t="s">
        <v>427</v>
      </c>
      <c r="Q207" s="1" t="s">
        <v>54</v>
      </c>
      <c r="R207" s="1" t="s">
        <v>428</v>
      </c>
    </row>
    <row r="208">
      <c r="A208" s="1" t="s">
        <v>424</v>
      </c>
      <c r="C208" s="1" t="s">
        <v>2236</v>
      </c>
      <c r="D208" s="1" t="s">
        <v>2434</v>
      </c>
      <c r="F208" s="1" t="s">
        <v>2435</v>
      </c>
      <c r="G208" s="1" t="s">
        <v>434</v>
      </c>
      <c r="H208" s="1" t="s">
        <v>39</v>
      </c>
      <c r="I208" s="1" t="s">
        <v>428</v>
      </c>
      <c r="J208" s="1">
        <v>2.0</v>
      </c>
      <c r="K208" s="39"/>
      <c r="L208" s="2">
        <v>1.8</v>
      </c>
      <c r="M208" s="1" t="s">
        <v>425</v>
      </c>
      <c r="N208" s="1" t="s">
        <v>429</v>
      </c>
      <c r="O208" s="1" t="s">
        <v>430</v>
      </c>
      <c r="P208" s="1" t="s">
        <v>431</v>
      </c>
      <c r="Q208" s="1" t="s">
        <v>20</v>
      </c>
      <c r="R208" s="1" t="s">
        <v>428</v>
      </c>
    </row>
    <row r="209">
      <c r="A209" s="1" t="s">
        <v>424</v>
      </c>
      <c r="C209" s="1" t="s">
        <v>2236</v>
      </c>
      <c r="D209" s="1" t="s">
        <v>2434</v>
      </c>
      <c r="E209" s="1" t="s">
        <v>435</v>
      </c>
      <c r="F209" s="1" t="s">
        <v>436</v>
      </c>
      <c r="H209" s="1" t="s">
        <v>54</v>
      </c>
      <c r="I209" s="1" t="s">
        <v>428</v>
      </c>
      <c r="J209" s="1">
        <v>3.0</v>
      </c>
      <c r="K209" s="39"/>
      <c r="L209" s="2" t="s">
        <v>266</v>
      </c>
      <c r="M209" s="1" t="s">
        <v>432</v>
      </c>
      <c r="O209" s="1" t="s">
        <v>2435</v>
      </c>
      <c r="P209" s="1" t="s">
        <v>434</v>
      </c>
      <c r="Q209" s="1" t="s">
        <v>39</v>
      </c>
      <c r="R209" s="1" t="s">
        <v>428</v>
      </c>
    </row>
    <row r="210">
      <c r="A210" s="1" t="s">
        <v>424</v>
      </c>
      <c r="C210" s="1" t="s">
        <v>2236</v>
      </c>
      <c r="D210" s="1" t="s">
        <v>2434</v>
      </c>
      <c r="E210" s="1" t="s">
        <v>439</v>
      </c>
      <c r="F210" s="1" t="s">
        <v>440</v>
      </c>
      <c r="G210" s="1" t="s">
        <v>434</v>
      </c>
      <c r="H210" s="1" t="s">
        <v>39</v>
      </c>
      <c r="I210" s="1" t="s">
        <v>428</v>
      </c>
      <c r="J210" s="1">
        <v>4.0</v>
      </c>
      <c r="K210" s="39"/>
      <c r="L210" s="2" t="s">
        <v>332</v>
      </c>
      <c r="M210" s="1" t="s">
        <v>432</v>
      </c>
      <c r="N210" s="1" t="s">
        <v>435</v>
      </c>
      <c r="O210" s="1" t="s">
        <v>436</v>
      </c>
      <c r="Q210" s="1" t="s">
        <v>54</v>
      </c>
      <c r="R210" s="1" t="s">
        <v>428</v>
      </c>
    </row>
    <row r="211">
      <c r="A211" s="1" t="s">
        <v>424</v>
      </c>
      <c r="C211" s="1" t="s">
        <v>2236</v>
      </c>
      <c r="D211" s="1" t="s">
        <v>2436</v>
      </c>
      <c r="E211" s="1" t="s">
        <v>442</v>
      </c>
      <c r="F211" s="40" t="s">
        <v>443</v>
      </c>
      <c r="H211" s="1" t="s">
        <v>54</v>
      </c>
      <c r="I211" s="1" t="s">
        <v>428</v>
      </c>
      <c r="J211" s="1">
        <v>5.0</v>
      </c>
      <c r="K211" s="39"/>
      <c r="L211" s="2" t="s">
        <v>438</v>
      </c>
      <c r="M211" s="1" t="s">
        <v>432</v>
      </c>
      <c r="N211" s="1" t="s">
        <v>439</v>
      </c>
      <c r="O211" s="1" t="s">
        <v>440</v>
      </c>
      <c r="P211" s="1" t="s">
        <v>434</v>
      </c>
      <c r="Q211" s="1" t="s">
        <v>39</v>
      </c>
      <c r="R211" s="1" t="s">
        <v>428</v>
      </c>
    </row>
    <row r="212">
      <c r="A212" s="1" t="s">
        <v>424</v>
      </c>
      <c r="C212" s="1" t="s">
        <v>2236</v>
      </c>
      <c r="D212" s="1" t="s">
        <v>2437</v>
      </c>
      <c r="F212" s="1" t="s">
        <v>446</v>
      </c>
      <c r="G212" s="1" t="s">
        <v>447</v>
      </c>
      <c r="H212" s="1" t="s">
        <v>44</v>
      </c>
      <c r="I212" s="1" t="s">
        <v>428</v>
      </c>
      <c r="J212" s="1">
        <v>6.0</v>
      </c>
      <c r="K212" s="39"/>
      <c r="L212" s="2">
        <v>5.0</v>
      </c>
      <c r="M212" s="1" t="s">
        <v>441</v>
      </c>
      <c r="N212" s="1" t="s">
        <v>442</v>
      </c>
      <c r="O212" s="40" t="s">
        <v>443</v>
      </c>
      <c r="Q212" s="1" t="s">
        <v>54</v>
      </c>
      <c r="R212" s="1" t="s">
        <v>428</v>
      </c>
    </row>
    <row r="213">
      <c r="A213" s="1" t="s">
        <v>424</v>
      </c>
      <c r="C213" s="1" t="s">
        <v>2250</v>
      </c>
      <c r="D213" s="1" t="s">
        <v>425</v>
      </c>
      <c r="E213" s="1" t="s">
        <v>426</v>
      </c>
      <c r="F213" s="1" t="s">
        <v>52</v>
      </c>
      <c r="G213" s="1" t="s">
        <v>427</v>
      </c>
      <c r="H213" s="1" t="s">
        <v>54</v>
      </c>
      <c r="I213" s="1" t="s">
        <v>428</v>
      </c>
      <c r="J213" s="1">
        <v>7.0</v>
      </c>
      <c r="K213" s="39"/>
      <c r="L213" s="2">
        <v>6.0</v>
      </c>
      <c r="M213" s="1" t="s">
        <v>445</v>
      </c>
      <c r="O213" s="1" t="s">
        <v>446</v>
      </c>
      <c r="P213" s="1" t="s">
        <v>447</v>
      </c>
      <c r="Q213" s="1" t="s">
        <v>44</v>
      </c>
      <c r="R213" s="1" t="s">
        <v>428</v>
      </c>
    </row>
    <row r="214">
      <c r="A214" s="1" t="s">
        <v>424</v>
      </c>
      <c r="C214" s="1" t="s">
        <v>2250</v>
      </c>
      <c r="D214" s="1" t="s">
        <v>425</v>
      </c>
      <c r="E214" s="1" t="s">
        <v>429</v>
      </c>
      <c r="F214" s="1" t="s">
        <v>430</v>
      </c>
      <c r="G214" s="1" t="s">
        <v>431</v>
      </c>
      <c r="H214" s="1" t="s">
        <v>20</v>
      </c>
      <c r="I214" s="1" t="s">
        <v>428</v>
      </c>
      <c r="J214" s="1">
        <v>8.0</v>
      </c>
      <c r="K214" s="39"/>
      <c r="L214" s="45"/>
    </row>
    <row r="215">
      <c r="A215" s="1" t="s">
        <v>424</v>
      </c>
      <c r="C215" s="1" t="s">
        <v>2250</v>
      </c>
      <c r="D215" s="1" t="s">
        <v>2438</v>
      </c>
      <c r="E215" s="1" t="s">
        <v>2439</v>
      </c>
      <c r="F215" s="1" t="s">
        <v>2440</v>
      </c>
      <c r="G215" s="1" t="s">
        <v>2441</v>
      </c>
      <c r="H215" s="1" t="s">
        <v>39</v>
      </c>
      <c r="I215" s="1" t="s">
        <v>428</v>
      </c>
      <c r="J215" s="1">
        <v>9.0</v>
      </c>
      <c r="K215" s="39"/>
      <c r="L215" s="45"/>
    </row>
    <row r="216">
      <c r="A216" s="47"/>
      <c r="B216" s="47"/>
      <c r="C216" s="47"/>
      <c r="D216" s="47"/>
      <c r="E216" s="47"/>
      <c r="F216" s="47"/>
      <c r="G216" s="47"/>
      <c r="H216" s="47"/>
      <c r="I216" s="47"/>
      <c r="J216" s="47"/>
      <c r="K216" s="47"/>
      <c r="L216" s="48"/>
      <c r="M216" s="47"/>
      <c r="N216" s="47"/>
      <c r="O216" s="47"/>
      <c r="P216" s="47"/>
      <c r="Q216" s="47"/>
      <c r="R216" s="47"/>
      <c r="S216" s="47"/>
      <c r="T216" s="47"/>
      <c r="U216" s="47"/>
      <c r="V216" s="47"/>
      <c r="W216" s="47"/>
      <c r="X216" s="47"/>
      <c r="Y216" s="47"/>
      <c r="Z216" s="47"/>
    </row>
    <row r="217">
      <c r="A217" s="1" t="s">
        <v>448</v>
      </c>
      <c r="C217" s="1" t="s">
        <v>2236</v>
      </c>
      <c r="D217" s="1" t="s">
        <v>2442</v>
      </c>
      <c r="E217" s="1" t="s">
        <v>454</v>
      </c>
      <c r="F217" s="1" t="s">
        <v>455</v>
      </c>
      <c r="G217" s="1" t="s">
        <v>456</v>
      </c>
      <c r="H217" s="1" t="s">
        <v>44</v>
      </c>
      <c r="I217" s="1" t="s">
        <v>457</v>
      </c>
      <c r="J217" s="1">
        <v>1.0</v>
      </c>
      <c r="K217" s="39"/>
      <c r="L217" s="2" t="s">
        <v>266</v>
      </c>
      <c r="M217" s="1" t="s">
        <v>449</v>
      </c>
      <c r="N217" s="1" t="s">
        <v>33</v>
      </c>
      <c r="O217" s="1" t="s">
        <v>2443</v>
      </c>
      <c r="P217" s="1" t="s">
        <v>451</v>
      </c>
      <c r="Q217" s="1" t="s">
        <v>91</v>
      </c>
      <c r="R217" s="1" t="s">
        <v>452</v>
      </c>
      <c r="S217" s="1" t="s">
        <v>2444</v>
      </c>
    </row>
    <row r="218">
      <c r="A218" s="1" t="s">
        <v>448</v>
      </c>
      <c r="C218" s="1" t="s">
        <v>2236</v>
      </c>
      <c r="D218" s="1" t="s">
        <v>2445</v>
      </c>
      <c r="F218" s="1" t="s">
        <v>2446</v>
      </c>
      <c r="H218" s="1" t="s">
        <v>54</v>
      </c>
      <c r="I218" s="1" t="s">
        <v>457</v>
      </c>
      <c r="J218" s="1">
        <v>2.0</v>
      </c>
      <c r="K218" s="39"/>
      <c r="L218" s="2">
        <v>1.0</v>
      </c>
      <c r="M218" s="1" t="s">
        <v>453</v>
      </c>
      <c r="N218" s="1" t="s">
        <v>454</v>
      </c>
      <c r="O218" s="1" t="s">
        <v>455</v>
      </c>
      <c r="P218" s="1" t="s">
        <v>456</v>
      </c>
      <c r="Q218" s="1" t="s">
        <v>44</v>
      </c>
      <c r="R218" s="1" t="s">
        <v>457</v>
      </c>
    </row>
    <row r="219">
      <c r="A219" s="1" t="s">
        <v>448</v>
      </c>
      <c r="C219" s="1" t="s">
        <v>2236</v>
      </c>
      <c r="D219" s="1" t="s">
        <v>2447</v>
      </c>
      <c r="E219" s="1" t="s">
        <v>2448</v>
      </c>
      <c r="F219" s="1" t="s">
        <v>2449</v>
      </c>
      <c r="G219" s="1" t="s">
        <v>434</v>
      </c>
      <c r="H219" s="1" t="s">
        <v>44</v>
      </c>
      <c r="I219" s="1" t="s">
        <v>457</v>
      </c>
      <c r="J219" s="1">
        <v>3.0</v>
      </c>
      <c r="K219" s="39"/>
      <c r="L219" s="2">
        <v>10.0</v>
      </c>
      <c r="M219" s="1" t="s">
        <v>458</v>
      </c>
      <c r="N219" s="1" t="s">
        <v>459</v>
      </c>
      <c r="O219" s="1" t="s">
        <v>460</v>
      </c>
      <c r="P219" s="1" t="s">
        <v>33</v>
      </c>
      <c r="Q219" s="1" t="s">
        <v>20</v>
      </c>
      <c r="R219" s="1" t="s">
        <v>452</v>
      </c>
    </row>
    <row r="220">
      <c r="A220" s="1" t="s">
        <v>448</v>
      </c>
      <c r="C220" s="1" t="s">
        <v>2236</v>
      </c>
      <c r="D220" s="1" t="s">
        <v>2450</v>
      </c>
      <c r="E220" s="1" t="s">
        <v>11</v>
      </c>
      <c r="F220" s="1" t="s">
        <v>2451</v>
      </c>
      <c r="H220" s="1" t="s">
        <v>54</v>
      </c>
      <c r="I220" s="1" t="s">
        <v>457</v>
      </c>
      <c r="J220" s="1">
        <v>4.0</v>
      </c>
      <c r="K220" s="39"/>
      <c r="L220" s="2">
        <v>11.0</v>
      </c>
      <c r="M220" s="1" t="s">
        <v>461</v>
      </c>
      <c r="N220" s="1" t="s">
        <v>462</v>
      </c>
      <c r="O220" s="1" t="s">
        <v>463</v>
      </c>
      <c r="P220" s="1" t="s">
        <v>464</v>
      </c>
      <c r="Q220" s="1" t="s">
        <v>54</v>
      </c>
      <c r="R220" s="1" t="s">
        <v>452</v>
      </c>
    </row>
    <row r="221">
      <c r="A221" s="1" t="s">
        <v>448</v>
      </c>
      <c r="C221" s="1" t="s">
        <v>2236</v>
      </c>
      <c r="D221" s="1" t="s">
        <v>2450</v>
      </c>
      <c r="E221" s="1" t="s">
        <v>11</v>
      </c>
      <c r="F221" s="1" t="s">
        <v>1760</v>
      </c>
      <c r="H221" s="1" t="s">
        <v>54</v>
      </c>
      <c r="I221" s="1" t="s">
        <v>457</v>
      </c>
      <c r="J221" s="1">
        <v>5.0</v>
      </c>
      <c r="K221" s="39"/>
      <c r="L221" s="2">
        <v>12.0</v>
      </c>
      <c r="M221" s="1" t="s">
        <v>465</v>
      </c>
      <c r="N221" s="1" t="s">
        <v>2452</v>
      </c>
      <c r="O221" s="1" t="s">
        <v>2453</v>
      </c>
      <c r="P221" s="1" t="s">
        <v>2454</v>
      </c>
      <c r="Q221" s="1" t="s">
        <v>54</v>
      </c>
      <c r="R221" s="1" t="s">
        <v>452</v>
      </c>
    </row>
    <row r="222">
      <c r="A222" s="1" t="s">
        <v>448</v>
      </c>
      <c r="C222" s="1" t="s">
        <v>2236</v>
      </c>
      <c r="D222" s="1" t="s">
        <v>2450</v>
      </c>
      <c r="E222" s="1" t="s">
        <v>11</v>
      </c>
      <c r="F222" s="1" t="s">
        <v>2455</v>
      </c>
      <c r="H222" s="1" t="s">
        <v>54</v>
      </c>
      <c r="I222" s="1" t="s">
        <v>457</v>
      </c>
      <c r="J222" s="1">
        <v>6.0</v>
      </c>
      <c r="K222" s="39"/>
      <c r="L222" s="2" t="s">
        <v>468</v>
      </c>
      <c r="M222" s="1" t="s">
        <v>469</v>
      </c>
      <c r="N222" s="1" t="s">
        <v>33</v>
      </c>
      <c r="O222" s="1" t="s">
        <v>470</v>
      </c>
      <c r="P222" s="1" t="s">
        <v>2456</v>
      </c>
      <c r="Q222" s="1" t="s">
        <v>39</v>
      </c>
      <c r="R222" s="1" t="s">
        <v>452</v>
      </c>
    </row>
    <row r="223">
      <c r="A223" s="1" t="s">
        <v>448</v>
      </c>
      <c r="C223" s="1" t="s">
        <v>2236</v>
      </c>
      <c r="D223" s="1" t="s">
        <v>2450</v>
      </c>
      <c r="E223" s="1" t="s">
        <v>11</v>
      </c>
      <c r="F223" s="1" t="s">
        <v>2457</v>
      </c>
      <c r="H223" s="1" t="s">
        <v>54</v>
      </c>
      <c r="I223" s="1" t="s">
        <v>457</v>
      </c>
      <c r="J223" s="1">
        <v>7.0</v>
      </c>
      <c r="K223" s="39"/>
      <c r="L223" s="2">
        <v>14.0</v>
      </c>
      <c r="M223" s="1" t="s">
        <v>472</v>
      </c>
      <c r="N223" s="1" t="s">
        <v>473</v>
      </c>
      <c r="O223" s="1" t="s">
        <v>474</v>
      </c>
      <c r="P223" s="1" t="s">
        <v>475</v>
      </c>
      <c r="Q223" s="1" t="s">
        <v>20</v>
      </c>
      <c r="R223" s="1" t="s">
        <v>452</v>
      </c>
    </row>
    <row r="224">
      <c r="A224" s="1" t="s">
        <v>448</v>
      </c>
      <c r="C224" s="1" t="s">
        <v>2236</v>
      </c>
      <c r="D224" s="1" t="s">
        <v>2458</v>
      </c>
      <c r="E224" s="1" t="s">
        <v>11</v>
      </c>
      <c r="F224" s="1" t="s">
        <v>477</v>
      </c>
      <c r="G224" s="1" t="s">
        <v>434</v>
      </c>
      <c r="H224" s="1" t="s">
        <v>39</v>
      </c>
      <c r="I224" s="1" t="s">
        <v>457</v>
      </c>
      <c r="J224" s="1">
        <v>8.0</v>
      </c>
      <c r="K224" s="39"/>
      <c r="L224" s="2">
        <v>8.0</v>
      </c>
      <c r="M224" s="1" t="s">
        <v>476</v>
      </c>
      <c r="N224" s="1" t="s">
        <v>11</v>
      </c>
      <c r="O224" s="1" t="s">
        <v>477</v>
      </c>
      <c r="P224" s="1" t="s">
        <v>434</v>
      </c>
      <c r="Q224" s="1" t="s">
        <v>39</v>
      </c>
      <c r="R224" s="1" t="s">
        <v>457</v>
      </c>
    </row>
    <row r="225">
      <c r="A225" s="1" t="s">
        <v>448</v>
      </c>
      <c r="C225" s="1" t="s">
        <v>2250</v>
      </c>
      <c r="D225" s="1" t="s">
        <v>449</v>
      </c>
      <c r="E225" s="1" t="s">
        <v>33</v>
      </c>
      <c r="F225" s="1" t="s">
        <v>2443</v>
      </c>
      <c r="G225" s="1" t="s">
        <v>451</v>
      </c>
      <c r="H225" s="1" t="s">
        <v>91</v>
      </c>
      <c r="I225" s="1" t="s">
        <v>452</v>
      </c>
      <c r="J225" s="1">
        <v>9.0</v>
      </c>
      <c r="K225" s="39"/>
      <c r="L225" s="2">
        <v>15.0</v>
      </c>
      <c r="M225" s="1" t="s">
        <v>478</v>
      </c>
      <c r="N225" s="1" t="s">
        <v>412</v>
      </c>
      <c r="O225" s="1" t="s">
        <v>479</v>
      </c>
      <c r="P225" s="1" t="s">
        <v>2456</v>
      </c>
      <c r="Q225" s="1" t="s">
        <v>39</v>
      </c>
      <c r="R225" s="1" t="s">
        <v>452</v>
      </c>
    </row>
    <row r="226">
      <c r="A226" s="1" t="s">
        <v>448</v>
      </c>
      <c r="C226" s="1" t="s">
        <v>2250</v>
      </c>
      <c r="D226" s="1" t="s">
        <v>449</v>
      </c>
      <c r="E226" s="1" t="s">
        <v>459</v>
      </c>
      <c r="F226" s="1" t="s">
        <v>460</v>
      </c>
      <c r="G226" s="1" t="s">
        <v>33</v>
      </c>
      <c r="H226" s="1" t="s">
        <v>20</v>
      </c>
      <c r="I226" s="1" t="s">
        <v>452</v>
      </c>
      <c r="J226" s="1">
        <v>10.0</v>
      </c>
      <c r="K226" s="39"/>
      <c r="L226" s="2" t="s">
        <v>480</v>
      </c>
      <c r="M226" s="1" t="s">
        <v>481</v>
      </c>
      <c r="N226" s="1" t="s">
        <v>307</v>
      </c>
      <c r="O226" s="1" t="s">
        <v>482</v>
      </c>
      <c r="P226" s="1" t="s">
        <v>309</v>
      </c>
      <c r="Q226" s="1" t="s">
        <v>39</v>
      </c>
      <c r="R226" s="1" t="s">
        <v>452</v>
      </c>
    </row>
    <row r="227">
      <c r="A227" s="1" t="s">
        <v>448</v>
      </c>
      <c r="C227" s="1" t="s">
        <v>2250</v>
      </c>
      <c r="D227" s="1" t="s">
        <v>461</v>
      </c>
      <c r="E227" s="1" t="s">
        <v>462</v>
      </c>
      <c r="F227" s="1" t="s">
        <v>463</v>
      </c>
      <c r="G227" s="1" t="s">
        <v>464</v>
      </c>
      <c r="H227" s="1" t="s">
        <v>54</v>
      </c>
      <c r="I227" s="1" t="s">
        <v>452</v>
      </c>
      <c r="J227" s="1">
        <v>11.0</v>
      </c>
      <c r="K227" s="39"/>
      <c r="L227" s="45"/>
    </row>
    <row r="228">
      <c r="A228" s="1" t="s">
        <v>448</v>
      </c>
      <c r="C228" s="1" t="s">
        <v>2250</v>
      </c>
      <c r="D228" s="1" t="s">
        <v>465</v>
      </c>
      <c r="E228" s="1" t="s">
        <v>2452</v>
      </c>
      <c r="F228" s="1" t="s">
        <v>2453</v>
      </c>
      <c r="G228" s="1" t="s">
        <v>2454</v>
      </c>
      <c r="H228" s="1" t="s">
        <v>54</v>
      </c>
      <c r="I228" s="1" t="s">
        <v>452</v>
      </c>
      <c r="J228" s="1">
        <v>12.0</v>
      </c>
      <c r="K228" s="39"/>
      <c r="L228" s="45"/>
    </row>
    <row r="229">
      <c r="A229" s="1" t="s">
        <v>448</v>
      </c>
      <c r="C229" s="1" t="s">
        <v>2250</v>
      </c>
      <c r="D229" s="1" t="s">
        <v>469</v>
      </c>
      <c r="E229" s="1" t="s">
        <v>33</v>
      </c>
      <c r="F229" s="1" t="s">
        <v>470</v>
      </c>
      <c r="G229" s="1" t="s">
        <v>2456</v>
      </c>
      <c r="H229" s="1" t="s">
        <v>39</v>
      </c>
      <c r="I229" s="1" t="s">
        <v>452</v>
      </c>
      <c r="J229" s="1">
        <v>13.0</v>
      </c>
      <c r="K229" s="39"/>
      <c r="L229" s="45"/>
    </row>
    <row r="230">
      <c r="A230" s="1" t="s">
        <v>448</v>
      </c>
      <c r="C230" s="1" t="s">
        <v>2250</v>
      </c>
      <c r="D230" s="1" t="s">
        <v>472</v>
      </c>
      <c r="E230" s="1" t="s">
        <v>473</v>
      </c>
      <c r="F230" s="1" t="s">
        <v>474</v>
      </c>
      <c r="G230" s="1" t="s">
        <v>475</v>
      </c>
      <c r="H230" s="1" t="s">
        <v>20</v>
      </c>
      <c r="I230" s="1" t="s">
        <v>452</v>
      </c>
      <c r="J230" s="1">
        <v>14.0</v>
      </c>
      <c r="K230" s="39"/>
      <c r="L230" s="45"/>
    </row>
    <row r="231">
      <c r="A231" s="1" t="s">
        <v>448</v>
      </c>
      <c r="C231" s="1" t="s">
        <v>2250</v>
      </c>
      <c r="D231" s="1" t="s">
        <v>472</v>
      </c>
      <c r="E231" s="1" t="s">
        <v>412</v>
      </c>
      <c r="F231" s="1" t="s">
        <v>479</v>
      </c>
      <c r="G231" s="1" t="s">
        <v>2456</v>
      </c>
      <c r="H231" s="1" t="s">
        <v>39</v>
      </c>
      <c r="I231" s="1" t="s">
        <v>452</v>
      </c>
      <c r="J231" s="1">
        <v>15.0</v>
      </c>
      <c r="K231" s="39"/>
      <c r="L231" s="45"/>
    </row>
    <row r="232">
      <c r="A232" s="47"/>
      <c r="B232" s="47"/>
      <c r="C232" s="47"/>
      <c r="D232" s="47"/>
      <c r="E232" s="47"/>
      <c r="F232" s="47"/>
      <c r="G232" s="47"/>
      <c r="H232" s="47"/>
      <c r="I232" s="47"/>
      <c r="J232" s="47"/>
      <c r="K232" s="47"/>
      <c r="L232" s="48"/>
      <c r="M232" s="47"/>
      <c r="N232" s="47"/>
      <c r="O232" s="47"/>
      <c r="P232" s="47"/>
      <c r="Q232" s="47"/>
      <c r="R232" s="47"/>
      <c r="S232" s="47"/>
      <c r="T232" s="47"/>
      <c r="U232" s="47"/>
      <c r="V232" s="47"/>
      <c r="W232" s="47"/>
      <c r="X232" s="47"/>
      <c r="Y232" s="47"/>
      <c r="Z232" s="47"/>
    </row>
    <row r="233">
      <c r="A233" s="1" t="s">
        <v>483</v>
      </c>
      <c r="C233" s="1" t="s">
        <v>2303</v>
      </c>
      <c r="D233" s="1" t="s">
        <v>502</v>
      </c>
      <c r="F233" s="1" t="s">
        <v>2459</v>
      </c>
      <c r="G233" s="1" t="s">
        <v>490</v>
      </c>
      <c r="H233" s="1" t="s">
        <v>44</v>
      </c>
      <c r="I233" s="1" t="s">
        <v>488</v>
      </c>
      <c r="J233" s="1">
        <v>1.0</v>
      </c>
      <c r="K233" s="39"/>
      <c r="L233" s="2">
        <v>7.0</v>
      </c>
      <c r="M233" s="1" t="s">
        <v>484</v>
      </c>
      <c r="N233" s="1" t="s">
        <v>485</v>
      </c>
      <c r="O233" s="1" t="s">
        <v>486</v>
      </c>
      <c r="P233" s="1" t="s">
        <v>487</v>
      </c>
      <c r="Q233" s="1" t="s">
        <v>54</v>
      </c>
      <c r="R233" s="1" t="s">
        <v>488</v>
      </c>
    </row>
    <row r="234">
      <c r="A234" s="1" t="s">
        <v>483</v>
      </c>
      <c r="C234" s="1" t="s">
        <v>2303</v>
      </c>
      <c r="D234" s="1" t="s">
        <v>502</v>
      </c>
      <c r="F234" s="1" t="s">
        <v>504</v>
      </c>
      <c r="G234" s="1" t="s">
        <v>505</v>
      </c>
      <c r="H234" s="1" t="s">
        <v>506</v>
      </c>
      <c r="I234" s="1" t="s">
        <v>488</v>
      </c>
      <c r="J234" s="1">
        <v>2.0</v>
      </c>
      <c r="K234" s="39"/>
      <c r="L234" s="2">
        <v>1.8</v>
      </c>
      <c r="M234" s="1" t="s">
        <v>484</v>
      </c>
      <c r="N234" s="1" t="s">
        <v>33</v>
      </c>
      <c r="O234" s="1" t="s">
        <v>489</v>
      </c>
      <c r="P234" s="1" t="s">
        <v>490</v>
      </c>
      <c r="Q234" s="1" t="s">
        <v>44</v>
      </c>
      <c r="R234" s="1" t="s">
        <v>488</v>
      </c>
    </row>
    <row r="235">
      <c r="A235" s="1" t="s">
        <v>483</v>
      </c>
      <c r="C235" s="1" t="s">
        <v>2303</v>
      </c>
      <c r="D235" s="1" t="s">
        <v>502</v>
      </c>
      <c r="F235" s="1" t="s">
        <v>2460</v>
      </c>
      <c r="H235" s="1" t="s">
        <v>39</v>
      </c>
      <c r="I235" s="1" t="s">
        <v>488</v>
      </c>
      <c r="J235" s="1">
        <v>3.0</v>
      </c>
      <c r="K235" s="39"/>
      <c r="L235" s="2" t="s">
        <v>438</v>
      </c>
      <c r="M235" s="1" t="s">
        <v>491</v>
      </c>
      <c r="N235" s="1" t="s">
        <v>473</v>
      </c>
      <c r="O235" s="1" t="s">
        <v>492</v>
      </c>
      <c r="P235" s="1" t="s">
        <v>33</v>
      </c>
      <c r="Q235" s="1" t="s">
        <v>20</v>
      </c>
      <c r="R235" s="1" t="s">
        <v>488</v>
      </c>
    </row>
    <row r="236">
      <c r="A236" s="1" t="s">
        <v>483</v>
      </c>
      <c r="C236" s="1" t="s">
        <v>2303</v>
      </c>
      <c r="D236" s="1" t="s">
        <v>502</v>
      </c>
      <c r="F236" s="1" t="s">
        <v>2461</v>
      </c>
      <c r="H236" s="1" t="s">
        <v>39</v>
      </c>
      <c r="I236" s="1" t="s">
        <v>488</v>
      </c>
      <c r="J236" s="1">
        <v>4.0</v>
      </c>
      <c r="K236" s="39"/>
      <c r="L236" s="2" t="s">
        <v>493</v>
      </c>
      <c r="M236" s="1" t="s">
        <v>491</v>
      </c>
      <c r="N236" s="1" t="s">
        <v>494</v>
      </c>
      <c r="O236" s="1" t="s">
        <v>495</v>
      </c>
      <c r="P236" s="1" t="s">
        <v>496</v>
      </c>
      <c r="Q236" s="1" t="s">
        <v>39</v>
      </c>
      <c r="R236" s="1" t="s">
        <v>488</v>
      </c>
    </row>
    <row r="237">
      <c r="A237" s="1" t="s">
        <v>483</v>
      </c>
      <c r="C237" s="1" t="s">
        <v>2303</v>
      </c>
      <c r="D237" s="1" t="s">
        <v>507</v>
      </c>
      <c r="E237" s="1" t="s">
        <v>508</v>
      </c>
      <c r="F237" s="1" t="s">
        <v>509</v>
      </c>
      <c r="G237" s="1" t="s">
        <v>510</v>
      </c>
      <c r="H237" s="1" t="s">
        <v>14</v>
      </c>
      <c r="I237" s="1" t="s">
        <v>488</v>
      </c>
      <c r="J237" s="1">
        <v>5.0</v>
      </c>
      <c r="K237" s="39"/>
      <c r="L237" s="2">
        <v>11.0</v>
      </c>
      <c r="M237" s="1" t="s">
        <v>491</v>
      </c>
      <c r="N237" s="1" t="s">
        <v>494</v>
      </c>
      <c r="O237" s="1" t="s">
        <v>497</v>
      </c>
      <c r="P237" s="1" t="s">
        <v>496</v>
      </c>
      <c r="Q237" s="1" t="s">
        <v>39</v>
      </c>
      <c r="R237" s="1" t="s">
        <v>488</v>
      </c>
    </row>
    <row r="238">
      <c r="A238" s="1" t="s">
        <v>483</v>
      </c>
      <c r="C238" s="1" t="s">
        <v>2303</v>
      </c>
      <c r="D238" s="1" t="s">
        <v>511</v>
      </c>
      <c r="F238" s="1" t="s">
        <v>2462</v>
      </c>
      <c r="H238" s="1" t="s">
        <v>39</v>
      </c>
      <c r="I238" s="1" t="s">
        <v>488</v>
      </c>
      <c r="J238" s="1">
        <v>6.0</v>
      </c>
      <c r="K238" s="39"/>
      <c r="L238" s="2">
        <v>12.0</v>
      </c>
      <c r="M238" s="1" t="s">
        <v>491</v>
      </c>
      <c r="N238" s="1" t="s">
        <v>205</v>
      </c>
      <c r="O238" s="1" t="s">
        <v>498</v>
      </c>
      <c r="P238" s="1" t="s">
        <v>33</v>
      </c>
      <c r="Q238" s="1" t="s">
        <v>14</v>
      </c>
      <c r="R238" s="1" t="s">
        <v>488</v>
      </c>
    </row>
    <row r="239">
      <c r="A239" s="1" t="s">
        <v>483</v>
      </c>
      <c r="C239" s="1" t="s">
        <v>2250</v>
      </c>
      <c r="D239" s="1" t="s">
        <v>484</v>
      </c>
      <c r="E239" s="1" t="s">
        <v>485</v>
      </c>
      <c r="F239" s="1" t="s">
        <v>486</v>
      </c>
      <c r="G239" s="1" t="s">
        <v>487</v>
      </c>
      <c r="H239" s="1" t="s">
        <v>54</v>
      </c>
      <c r="I239" s="1" t="s">
        <v>488</v>
      </c>
      <c r="J239" s="1">
        <v>7.0</v>
      </c>
      <c r="K239" s="39"/>
      <c r="L239" s="2">
        <v>13.0</v>
      </c>
      <c r="M239" s="1" t="s">
        <v>491</v>
      </c>
      <c r="N239" s="1" t="s">
        <v>499</v>
      </c>
      <c r="O239" s="1" t="s">
        <v>500</v>
      </c>
      <c r="P239" s="1" t="s">
        <v>2463</v>
      </c>
      <c r="Q239" s="1" t="s">
        <v>54</v>
      </c>
      <c r="R239" s="1" t="s">
        <v>488</v>
      </c>
    </row>
    <row r="240">
      <c r="A240" s="1" t="s">
        <v>483</v>
      </c>
      <c r="C240" s="1" t="s">
        <v>2250</v>
      </c>
      <c r="D240" s="1" t="s">
        <v>484</v>
      </c>
      <c r="E240" s="1" t="s">
        <v>33</v>
      </c>
      <c r="F240" s="1" t="s">
        <v>489</v>
      </c>
      <c r="G240" s="1" t="s">
        <v>33</v>
      </c>
      <c r="H240" s="1" t="s">
        <v>44</v>
      </c>
      <c r="I240" s="1" t="s">
        <v>488</v>
      </c>
      <c r="J240" s="1">
        <v>8.0</v>
      </c>
      <c r="K240" s="39"/>
      <c r="L240" s="2">
        <v>2.0</v>
      </c>
      <c r="M240" s="1" t="s">
        <v>502</v>
      </c>
      <c r="O240" s="1" t="s">
        <v>504</v>
      </c>
      <c r="P240" s="1" t="s">
        <v>505</v>
      </c>
      <c r="Q240" s="1" t="s">
        <v>506</v>
      </c>
      <c r="R240" s="1" t="s">
        <v>488</v>
      </c>
    </row>
    <row r="241">
      <c r="A241" s="1" t="s">
        <v>483</v>
      </c>
      <c r="C241" s="1" t="s">
        <v>2250</v>
      </c>
      <c r="D241" s="1" t="s">
        <v>491</v>
      </c>
      <c r="E241" s="1" t="s">
        <v>473</v>
      </c>
      <c r="F241" s="1" t="s">
        <v>492</v>
      </c>
      <c r="G241" s="1" t="s">
        <v>33</v>
      </c>
      <c r="H241" s="1" t="s">
        <v>20</v>
      </c>
      <c r="I241" s="1" t="s">
        <v>488</v>
      </c>
      <c r="J241" s="1">
        <v>9.0</v>
      </c>
      <c r="K241" s="39"/>
      <c r="L241" s="2">
        <v>5.0</v>
      </c>
      <c r="M241" s="1" t="s">
        <v>507</v>
      </c>
      <c r="N241" s="1" t="s">
        <v>508</v>
      </c>
      <c r="O241" s="1" t="s">
        <v>509</v>
      </c>
      <c r="P241" s="1" t="s">
        <v>510</v>
      </c>
      <c r="Q241" s="1" t="s">
        <v>14</v>
      </c>
      <c r="R241" s="1" t="s">
        <v>488</v>
      </c>
    </row>
    <row r="242">
      <c r="A242" s="1" t="s">
        <v>483</v>
      </c>
      <c r="C242" s="1" t="s">
        <v>2250</v>
      </c>
      <c r="D242" s="1" t="s">
        <v>491</v>
      </c>
      <c r="E242" s="1" t="s">
        <v>494</v>
      </c>
      <c r="F242" s="1" t="s">
        <v>495</v>
      </c>
      <c r="G242" s="1" t="s">
        <v>496</v>
      </c>
      <c r="H242" s="1" t="s">
        <v>39</v>
      </c>
      <c r="I242" s="1" t="s">
        <v>488</v>
      </c>
      <c r="J242" s="1">
        <v>10.0</v>
      </c>
      <c r="K242" s="39"/>
      <c r="L242" s="2">
        <v>6.0</v>
      </c>
      <c r="M242" s="1" t="s">
        <v>511</v>
      </c>
      <c r="O242" s="1" t="s">
        <v>2462</v>
      </c>
      <c r="Q242" s="1" t="s">
        <v>39</v>
      </c>
      <c r="R242" s="1" t="s">
        <v>488</v>
      </c>
    </row>
    <row r="243">
      <c r="A243" s="1" t="s">
        <v>483</v>
      </c>
      <c r="C243" s="1" t="s">
        <v>2250</v>
      </c>
      <c r="D243" s="1" t="s">
        <v>491</v>
      </c>
      <c r="E243" s="1" t="s">
        <v>494</v>
      </c>
      <c r="F243" s="1" t="s">
        <v>497</v>
      </c>
      <c r="G243" s="1" t="s">
        <v>496</v>
      </c>
      <c r="H243" s="1" t="s">
        <v>39</v>
      </c>
      <c r="I243" s="1" t="s">
        <v>488</v>
      </c>
      <c r="J243" s="1">
        <v>11.0</v>
      </c>
      <c r="K243" s="39"/>
      <c r="L243" s="45"/>
    </row>
    <row r="244">
      <c r="A244" s="1" t="s">
        <v>483</v>
      </c>
      <c r="C244" s="1" t="s">
        <v>2250</v>
      </c>
      <c r="D244" s="1" t="s">
        <v>491</v>
      </c>
      <c r="E244" s="1" t="s">
        <v>205</v>
      </c>
      <c r="F244" s="1" t="s">
        <v>498</v>
      </c>
      <c r="G244" s="1" t="s">
        <v>33</v>
      </c>
      <c r="H244" s="1" t="s">
        <v>14</v>
      </c>
      <c r="I244" s="1" t="s">
        <v>488</v>
      </c>
      <c r="J244" s="1">
        <v>12.0</v>
      </c>
      <c r="K244" s="39"/>
      <c r="L244" s="45"/>
    </row>
    <row r="245">
      <c r="A245" s="1" t="s">
        <v>483</v>
      </c>
      <c r="C245" s="1" t="s">
        <v>2250</v>
      </c>
      <c r="D245" s="1" t="s">
        <v>491</v>
      </c>
      <c r="E245" s="1" t="s">
        <v>499</v>
      </c>
      <c r="F245" s="1" t="s">
        <v>500</v>
      </c>
      <c r="G245" s="1" t="s">
        <v>2463</v>
      </c>
      <c r="H245" s="1" t="s">
        <v>54</v>
      </c>
      <c r="I245" s="1" t="s">
        <v>488</v>
      </c>
      <c r="J245" s="1">
        <v>13.0</v>
      </c>
      <c r="K245" s="39"/>
      <c r="L245" s="45"/>
    </row>
    <row r="246">
      <c r="A246" s="47"/>
      <c r="B246" s="47"/>
      <c r="C246" s="47"/>
      <c r="D246" s="47"/>
      <c r="E246" s="47"/>
      <c r="F246" s="47"/>
      <c r="G246" s="47"/>
      <c r="H246" s="47"/>
      <c r="I246" s="47"/>
      <c r="J246" s="47"/>
      <c r="K246" s="47"/>
      <c r="L246" s="48"/>
      <c r="M246" s="47"/>
      <c r="N246" s="47"/>
      <c r="O246" s="47"/>
      <c r="P246" s="47"/>
      <c r="Q246" s="47"/>
      <c r="R246" s="47"/>
      <c r="S246" s="47"/>
      <c r="T246" s="47"/>
      <c r="U246" s="47"/>
      <c r="V246" s="47"/>
      <c r="W246" s="47"/>
      <c r="X246" s="47"/>
      <c r="Y246" s="47"/>
      <c r="Z246" s="47"/>
    </row>
    <row r="247">
      <c r="A247" s="21" t="s">
        <v>514</v>
      </c>
      <c r="C247" s="21" t="s">
        <v>2464</v>
      </c>
      <c r="K247" s="39"/>
      <c r="L247" s="45"/>
    </row>
    <row r="248">
      <c r="K248" s="39"/>
      <c r="L248" s="45"/>
    </row>
    <row r="249">
      <c r="A249" s="47"/>
      <c r="B249" s="47"/>
      <c r="C249" s="47"/>
      <c r="D249" s="47"/>
      <c r="E249" s="47"/>
      <c r="F249" s="47"/>
      <c r="G249" s="47"/>
      <c r="H249" s="47"/>
      <c r="I249" s="47"/>
      <c r="J249" s="47"/>
      <c r="K249" s="47"/>
      <c r="L249" s="48"/>
      <c r="M249" s="47"/>
      <c r="N249" s="47"/>
      <c r="O249" s="47"/>
      <c r="P249" s="47"/>
      <c r="Q249" s="47"/>
      <c r="R249" s="47"/>
      <c r="S249" s="47"/>
      <c r="T249" s="47"/>
      <c r="U249" s="47"/>
      <c r="V249" s="47"/>
      <c r="W249" s="47"/>
      <c r="X249" s="47"/>
      <c r="Y249" s="47"/>
      <c r="Z249" s="47"/>
    </row>
    <row r="250">
      <c r="A250" s="1" t="s">
        <v>516</v>
      </c>
      <c r="C250" s="1" t="s">
        <v>2384</v>
      </c>
      <c r="D250" s="1" t="s">
        <v>2465</v>
      </c>
      <c r="E250" s="1" t="s">
        <v>2466</v>
      </c>
      <c r="F250" s="1" t="s">
        <v>2467</v>
      </c>
      <c r="G250" s="1" t="s">
        <v>2468</v>
      </c>
      <c r="H250" s="1" t="s">
        <v>2388</v>
      </c>
      <c r="I250" s="1" t="s">
        <v>521</v>
      </c>
      <c r="J250" s="1">
        <v>1.0</v>
      </c>
      <c r="K250" s="39"/>
      <c r="L250" s="2" t="s">
        <v>9</v>
      </c>
      <c r="M250" s="1" t="s">
        <v>517</v>
      </c>
      <c r="N250" s="1" t="s">
        <v>518</v>
      </c>
      <c r="O250" s="1" t="s">
        <v>519</v>
      </c>
      <c r="P250" s="1" t="s">
        <v>2469</v>
      </c>
      <c r="Q250" s="1" t="s">
        <v>91</v>
      </c>
      <c r="R250" s="1" t="s">
        <v>521</v>
      </c>
    </row>
    <row r="251">
      <c r="A251" s="1" t="s">
        <v>516</v>
      </c>
      <c r="C251" s="1" t="s">
        <v>2384</v>
      </c>
      <c r="D251" s="1" t="s">
        <v>2470</v>
      </c>
      <c r="E251" s="1" t="s">
        <v>2466</v>
      </c>
      <c r="F251" s="1" t="s">
        <v>2471</v>
      </c>
      <c r="G251" s="1" t="s">
        <v>2472</v>
      </c>
      <c r="H251" s="1" t="s">
        <v>14</v>
      </c>
      <c r="I251" s="1" t="s">
        <v>521</v>
      </c>
      <c r="J251" s="1">
        <v>2.0</v>
      </c>
      <c r="K251" s="39"/>
      <c r="L251" s="2" t="s">
        <v>261</v>
      </c>
      <c r="M251" s="1" t="s">
        <v>522</v>
      </c>
      <c r="N251" s="1" t="s">
        <v>518</v>
      </c>
      <c r="O251" s="1" t="s">
        <v>2473</v>
      </c>
      <c r="P251" s="1" t="s">
        <v>524</v>
      </c>
      <c r="Q251" s="1" t="s">
        <v>14</v>
      </c>
      <c r="R251" s="1" t="s">
        <v>521</v>
      </c>
    </row>
    <row r="252">
      <c r="A252" s="1" t="s">
        <v>516</v>
      </c>
      <c r="C252" s="1" t="s">
        <v>2384</v>
      </c>
      <c r="D252" s="1" t="s">
        <v>2474</v>
      </c>
      <c r="F252" s="1" t="s">
        <v>2392</v>
      </c>
      <c r="G252" s="1" t="s">
        <v>364</v>
      </c>
      <c r="H252" s="1" t="s">
        <v>39</v>
      </c>
      <c r="I252" s="1" t="s">
        <v>521</v>
      </c>
      <c r="J252" s="1">
        <v>3.0</v>
      </c>
      <c r="K252" s="39"/>
      <c r="L252" s="2" t="s">
        <v>438</v>
      </c>
      <c r="M252" s="1" t="s">
        <v>525</v>
      </c>
      <c r="N252" s="1" t="s">
        <v>2475</v>
      </c>
      <c r="O252" s="1" t="s">
        <v>527</v>
      </c>
      <c r="P252" s="1" t="s">
        <v>528</v>
      </c>
      <c r="Q252" s="1" t="s">
        <v>39</v>
      </c>
      <c r="R252" s="1" t="s">
        <v>521</v>
      </c>
    </row>
    <row r="253">
      <c r="A253" s="1" t="s">
        <v>516</v>
      </c>
      <c r="C253" s="1" t="s">
        <v>2384</v>
      </c>
      <c r="D253" s="1" t="s">
        <v>2476</v>
      </c>
      <c r="F253" s="1" t="s">
        <v>357</v>
      </c>
      <c r="G253" s="1" t="s">
        <v>358</v>
      </c>
      <c r="H253" s="1" t="s">
        <v>39</v>
      </c>
      <c r="I253" s="1" t="s">
        <v>521</v>
      </c>
      <c r="J253" s="1">
        <v>4.0</v>
      </c>
      <c r="K253" s="39"/>
      <c r="L253" s="2">
        <v>10.0</v>
      </c>
      <c r="M253" s="1" t="s">
        <v>529</v>
      </c>
      <c r="N253" s="1" t="s">
        <v>2475</v>
      </c>
      <c r="O253" s="1" t="s">
        <v>530</v>
      </c>
      <c r="P253" s="1" t="s">
        <v>531</v>
      </c>
      <c r="Q253" s="1" t="s">
        <v>39</v>
      </c>
      <c r="R253" s="1" t="s">
        <v>521</v>
      </c>
    </row>
    <row r="254">
      <c r="A254" s="1" t="s">
        <v>516</v>
      </c>
      <c r="C254" s="1" t="s">
        <v>2384</v>
      </c>
      <c r="D254" s="1" t="s">
        <v>2476</v>
      </c>
      <c r="F254" s="1" t="s">
        <v>2477</v>
      </c>
      <c r="G254" s="1" t="s">
        <v>358</v>
      </c>
      <c r="H254" s="1" t="s">
        <v>39</v>
      </c>
      <c r="I254" s="1" t="s">
        <v>521</v>
      </c>
      <c r="J254" s="1">
        <v>5.0</v>
      </c>
      <c r="K254" s="39"/>
      <c r="L254" s="2">
        <v>11.0</v>
      </c>
      <c r="M254" s="1" t="s">
        <v>529</v>
      </c>
      <c r="N254" s="1" t="s">
        <v>2475</v>
      </c>
      <c r="O254" s="1" t="s">
        <v>532</v>
      </c>
      <c r="P254" s="1" t="s">
        <v>531</v>
      </c>
      <c r="Q254" s="1" t="s">
        <v>39</v>
      </c>
      <c r="R254" s="1" t="s">
        <v>521</v>
      </c>
    </row>
    <row r="255">
      <c r="A255" s="1" t="s">
        <v>516</v>
      </c>
      <c r="C255" s="1" t="s">
        <v>2384</v>
      </c>
      <c r="D255" s="1" t="s">
        <v>539</v>
      </c>
      <c r="F255" s="1" t="s">
        <v>540</v>
      </c>
      <c r="G255" s="1" t="s">
        <v>541</v>
      </c>
      <c r="H255" s="1" t="s">
        <v>39</v>
      </c>
      <c r="I255" s="1" t="s">
        <v>521</v>
      </c>
      <c r="J255" s="1">
        <v>6.0</v>
      </c>
      <c r="K255" s="39"/>
      <c r="L255" s="2" t="s">
        <v>533</v>
      </c>
      <c r="M255" s="1" t="s">
        <v>529</v>
      </c>
      <c r="N255" s="1" t="s">
        <v>2475</v>
      </c>
      <c r="O255" s="1" t="s">
        <v>534</v>
      </c>
      <c r="P255" s="1" t="s">
        <v>531</v>
      </c>
      <c r="Q255" s="1" t="s">
        <v>39</v>
      </c>
      <c r="R255" s="1" t="s">
        <v>521</v>
      </c>
    </row>
    <row r="256">
      <c r="A256" s="1" t="s">
        <v>516</v>
      </c>
      <c r="C256" s="1" t="s">
        <v>2250</v>
      </c>
      <c r="D256" s="1" t="s">
        <v>517</v>
      </c>
      <c r="E256" s="1" t="s">
        <v>518</v>
      </c>
      <c r="F256" s="1" t="s">
        <v>519</v>
      </c>
      <c r="G256" s="1" t="s">
        <v>2469</v>
      </c>
      <c r="H256" s="1" t="s">
        <v>91</v>
      </c>
      <c r="I256" s="1" t="s">
        <v>521</v>
      </c>
      <c r="J256" s="1">
        <v>7.0</v>
      </c>
      <c r="K256" s="39"/>
      <c r="L256" s="2" t="s">
        <v>468</v>
      </c>
      <c r="M256" s="1" t="s">
        <v>535</v>
      </c>
      <c r="N256" s="1" t="s">
        <v>536</v>
      </c>
      <c r="O256" s="1" t="s">
        <v>537</v>
      </c>
      <c r="P256" s="1" t="s">
        <v>538</v>
      </c>
      <c r="Q256" s="1" t="s">
        <v>39</v>
      </c>
      <c r="R256" s="1" t="s">
        <v>521</v>
      </c>
    </row>
    <row r="257">
      <c r="A257" s="1" t="s">
        <v>516</v>
      </c>
      <c r="C257" s="1" t="s">
        <v>2250</v>
      </c>
      <c r="D257" s="1" t="s">
        <v>522</v>
      </c>
      <c r="E257" s="1" t="s">
        <v>518</v>
      </c>
      <c r="F257" s="1" t="s">
        <v>2473</v>
      </c>
      <c r="G257" s="1" t="s">
        <v>524</v>
      </c>
      <c r="H257" s="1" t="s">
        <v>14</v>
      </c>
      <c r="I257" s="1" t="s">
        <v>521</v>
      </c>
      <c r="J257" s="1">
        <v>8.0</v>
      </c>
      <c r="K257" s="39"/>
      <c r="L257" s="2">
        <v>6.0</v>
      </c>
      <c r="M257" s="1" t="s">
        <v>539</v>
      </c>
      <c r="O257" s="1" t="s">
        <v>540</v>
      </c>
      <c r="P257" s="1" t="s">
        <v>541</v>
      </c>
      <c r="Q257" s="1" t="s">
        <v>39</v>
      </c>
      <c r="R257" s="1" t="s">
        <v>521</v>
      </c>
    </row>
    <row r="258">
      <c r="A258" s="1" t="s">
        <v>516</v>
      </c>
      <c r="C258" s="1" t="s">
        <v>2250</v>
      </c>
      <c r="D258" s="1" t="s">
        <v>525</v>
      </c>
      <c r="E258" s="1" t="s">
        <v>2475</v>
      </c>
      <c r="F258" s="1" t="s">
        <v>527</v>
      </c>
      <c r="G258" s="1" t="s">
        <v>528</v>
      </c>
      <c r="H258" s="1" t="s">
        <v>39</v>
      </c>
      <c r="I258" s="1" t="s">
        <v>521</v>
      </c>
      <c r="J258" s="1">
        <v>9.0</v>
      </c>
      <c r="K258" s="39"/>
      <c r="L258" s="45"/>
    </row>
    <row r="259">
      <c r="A259" s="1" t="s">
        <v>516</v>
      </c>
      <c r="C259" s="1" t="s">
        <v>2250</v>
      </c>
      <c r="D259" s="1" t="s">
        <v>529</v>
      </c>
      <c r="E259" s="1" t="s">
        <v>2475</v>
      </c>
      <c r="F259" s="1" t="s">
        <v>530</v>
      </c>
      <c r="G259" s="1" t="s">
        <v>531</v>
      </c>
      <c r="H259" s="1" t="s">
        <v>39</v>
      </c>
      <c r="I259" s="1" t="s">
        <v>521</v>
      </c>
      <c r="J259" s="1">
        <v>10.0</v>
      </c>
      <c r="K259" s="39"/>
      <c r="L259" s="45"/>
    </row>
    <row r="260">
      <c r="A260" s="1" t="s">
        <v>516</v>
      </c>
      <c r="C260" s="1" t="s">
        <v>2250</v>
      </c>
      <c r="D260" s="1" t="s">
        <v>529</v>
      </c>
      <c r="E260" s="1" t="s">
        <v>2475</v>
      </c>
      <c r="F260" s="1" t="s">
        <v>532</v>
      </c>
      <c r="G260" s="1" t="s">
        <v>531</v>
      </c>
      <c r="H260" s="1" t="s">
        <v>39</v>
      </c>
      <c r="I260" s="1" t="s">
        <v>521</v>
      </c>
      <c r="J260" s="1">
        <v>11.0</v>
      </c>
      <c r="K260" s="39"/>
      <c r="L260" s="45"/>
    </row>
    <row r="261">
      <c r="A261" s="1" t="s">
        <v>516</v>
      </c>
      <c r="C261" s="1" t="s">
        <v>2250</v>
      </c>
      <c r="D261" s="1" t="s">
        <v>529</v>
      </c>
      <c r="E261" s="1" t="s">
        <v>2475</v>
      </c>
      <c r="F261" s="1" t="s">
        <v>534</v>
      </c>
      <c r="G261" s="1" t="s">
        <v>531</v>
      </c>
      <c r="H261" s="1" t="s">
        <v>39</v>
      </c>
      <c r="I261" s="1" t="s">
        <v>521</v>
      </c>
      <c r="J261" s="1">
        <v>12.0</v>
      </c>
      <c r="K261" s="39"/>
      <c r="L261" s="45"/>
    </row>
    <row r="262">
      <c r="A262" s="1" t="s">
        <v>516</v>
      </c>
      <c r="C262" s="1" t="s">
        <v>2250</v>
      </c>
      <c r="D262" s="1" t="s">
        <v>535</v>
      </c>
      <c r="E262" s="1" t="s">
        <v>536</v>
      </c>
      <c r="F262" s="1" t="s">
        <v>537</v>
      </c>
      <c r="G262" s="1" t="s">
        <v>538</v>
      </c>
      <c r="H262" s="1" t="s">
        <v>39</v>
      </c>
      <c r="I262" s="1" t="s">
        <v>521</v>
      </c>
      <c r="J262" s="1">
        <v>13.0</v>
      </c>
      <c r="K262" s="39"/>
      <c r="L262" s="45"/>
    </row>
    <row r="263">
      <c r="A263" s="47"/>
      <c r="B263" s="47"/>
      <c r="C263" s="47"/>
      <c r="D263" s="47"/>
      <c r="E263" s="47"/>
      <c r="F263" s="47"/>
      <c r="G263" s="47"/>
      <c r="H263" s="47"/>
      <c r="I263" s="47"/>
      <c r="J263" s="47"/>
      <c r="K263" s="47"/>
      <c r="L263" s="48"/>
      <c r="M263" s="47"/>
      <c r="N263" s="47"/>
      <c r="O263" s="47"/>
      <c r="P263" s="47"/>
      <c r="Q263" s="47"/>
      <c r="R263" s="47"/>
      <c r="S263" s="47"/>
      <c r="T263" s="47"/>
      <c r="U263" s="47"/>
      <c r="V263" s="47"/>
      <c r="W263" s="47"/>
      <c r="X263" s="47"/>
      <c r="Y263" s="47"/>
      <c r="Z263" s="47"/>
    </row>
    <row r="264">
      <c r="A264" s="21" t="s">
        <v>2201</v>
      </c>
      <c r="C264" s="21" t="s">
        <v>2478</v>
      </c>
      <c r="K264" s="39"/>
      <c r="L264" s="45"/>
    </row>
    <row r="265">
      <c r="K265" s="39"/>
      <c r="L265" s="45"/>
    </row>
    <row r="266">
      <c r="A266" s="47"/>
      <c r="B266" s="47"/>
      <c r="C266" s="47"/>
      <c r="D266" s="47"/>
      <c r="E266" s="47"/>
      <c r="F266" s="47"/>
      <c r="G266" s="47"/>
      <c r="H266" s="47"/>
      <c r="I266" s="47"/>
      <c r="J266" s="47"/>
      <c r="K266" s="47"/>
      <c r="L266" s="48"/>
      <c r="M266" s="47"/>
      <c r="N266" s="47"/>
      <c r="O266" s="47"/>
      <c r="P266" s="47"/>
      <c r="Q266" s="47"/>
      <c r="R266" s="47"/>
      <c r="S266" s="47"/>
      <c r="T266" s="47"/>
      <c r="U266" s="47"/>
      <c r="V266" s="47"/>
      <c r="W266" s="47"/>
      <c r="X266" s="47"/>
      <c r="Y266" s="47"/>
      <c r="Z266" s="47"/>
    </row>
    <row r="267">
      <c r="A267" s="1" t="s">
        <v>542</v>
      </c>
      <c r="C267" s="1" t="s">
        <v>2346</v>
      </c>
      <c r="D267" s="56" t="s">
        <v>2479</v>
      </c>
      <c r="E267" s="56" t="s">
        <v>2480</v>
      </c>
      <c r="F267" s="56" t="s">
        <v>2481</v>
      </c>
      <c r="G267" s="56" t="s">
        <v>2482</v>
      </c>
      <c r="H267" s="1" t="s">
        <v>39</v>
      </c>
      <c r="I267" s="1" t="s">
        <v>547</v>
      </c>
      <c r="J267" s="1">
        <v>1.0</v>
      </c>
      <c r="K267" s="39"/>
      <c r="L267" s="2" t="s">
        <v>342</v>
      </c>
      <c r="M267" s="1" t="s">
        <v>543</v>
      </c>
      <c r="N267" s="1" t="s">
        <v>544</v>
      </c>
      <c r="O267" s="1" t="s">
        <v>545</v>
      </c>
      <c r="P267" s="1" t="s">
        <v>546</v>
      </c>
      <c r="Q267" s="1" t="s">
        <v>54</v>
      </c>
      <c r="R267" s="1" t="s">
        <v>547</v>
      </c>
    </row>
    <row r="268">
      <c r="A268" s="1" t="s">
        <v>542</v>
      </c>
      <c r="C268" s="1" t="s">
        <v>2346</v>
      </c>
      <c r="D268" s="56" t="s">
        <v>2483</v>
      </c>
      <c r="E268" s="56" t="s">
        <v>2484</v>
      </c>
      <c r="F268" s="56" t="s">
        <v>552</v>
      </c>
      <c r="G268" s="56" t="s">
        <v>2485</v>
      </c>
      <c r="H268" s="1" t="s">
        <v>54</v>
      </c>
      <c r="I268" s="1" t="s">
        <v>547</v>
      </c>
      <c r="J268" s="1">
        <v>2.0</v>
      </c>
      <c r="K268" s="39"/>
      <c r="L268" s="2" t="s">
        <v>268</v>
      </c>
      <c r="M268" s="1" t="s">
        <v>548</v>
      </c>
      <c r="N268" s="1" t="s">
        <v>549</v>
      </c>
      <c r="O268" s="1" t="s">
        <v>550</v>
      </c>
      <c r="P268" s="1" t="s">
        <v>551</v>
      </c>
      <c r="Q268" s="1" t="s">
        <v>54</v>
      </c>
      <c r="R268" s="1" t="s">
        <v>547</v>
      </c>
    </row>
    <row r="269">
      <c r="A269" s="1" t="s">
        <v>542</v>
      </c>
      <c r="C269" s="1" t="s">
        <v>2346</v>
      </c>
      <c r="D269" s="56" t="s">
        <v>2483</v>
      </c>
      <c r="E269" s="56" t="s">
        <v>2484</v>
      </c>
      <c r="F269" s="56" t="s">
        <v>550</v>
      </c>
      <c r="G269" s="56" t="s">
        <v>2485</v>
      </c>
      <c r="H269" s="1" t="s">
        <v>54</v>
      </c>
      <c r="I269" s="1" t="s">
        <v>547</v>
      </c>
      <c r="J269" s="1">
        <v>3.0</v>
      </c>
      <c r="K269" s="39"/>
      <c r="L269" s="2" t="s">
        <v>299</v>
      </c>
      <c r="M269" s="1" t="s">
        <v>548</v>
      </c>
      <c r="N269" s="1" t="s">
        <v>549</v>
      </c>
      <c r="O269" s="1" t="s">
        <v>552</v>
      </c>
      <c r="P269" s="1" t="s">
        <v>551</v>
      </c>
      <c r="Q269" s="1" t="s">
        <v>54</v>
      </c>
      <c r="R269" s="1" t="s">
        <v>547</v>
      </c>
    </row>
    <row r="270">
      <c r="A270" s="1" t="s">
        <v>542</v>
      </c>
      <c r="C270" s="1" t="s">
        <v>2346</v>
      </c>
      <c r="D270" s="56" t="s">
        <v>2486</v>
      </c>
      <c r="E270" s="56" t="s">
        <v>2487</v>
      </c>
      <c r="F270" s="56" t="s">
        <v>2488</v>
      </c>
      <c r="G270" s="56" t="s">
        <v>2489</v>
      </c>
      <c r="H270" s="8"/>
      <c r="I270" s="1" t="s">
        <v>547</v>
      </c>
      <c r="J270" s="1">
        <v>4.0</v>
      </c>
      <c r="K270" s="39"/>
      <c r="L270" s="2" t="s">
        <v>301</v>
      </c>
      <c r="M270" s="1" t="s">
        <v>553</v>
      </c>
      <c r="N270" s="1" t="s">
        <v>554</v>
      </c>
      <c r="O270" s="1" t="s">
        <v>555</v>
      </c>
      <c r="P270" s="1" t="s">
        <v>556</v>
      </c>
      <c r="Q270" s="1" t="s">
        <v>54</v>
      </c>
      <c r="R270" s="1" t="s">
        <v>547</v>
      </c>
    </row>
    <row r="271">
      <c r="A271" s="1" t="s">
        <v>542</v>
      </c>
      <c r="C271" s="1" t="s">
        <v>2346</v>
      </c>
      <c r="D271" s="56" t="s">
        <v>2486</v>
      </c>
      <c r="E271" s="56" t="s">
        <v>2487</v>
      </c>
      <c r="F271" s="56" t="s">
        <v>2490</v>
      </c>
      <c r="G271" s="56" t="s">
        <v>2489</v>
      </c>
      <c r="H271" s="8"/>
      <c r="I271" s="1" t="s">
        <v>547</v>
      </c>
      <c r="J271" s="1">
        <v>5.0</v>
      </c>
      <c r="K271" s="39"/>
      <c r="L271" s="2" t="s">
        <v>557</v>
      </c>
      <c r="M271" s="1" t="s">
        <v>553</v>
      </c>
      <c r="N271" s="1" t="s">
        <v>554</v>
      </c>
      <c r="O271" s="1" t="s">
        <v>558</v>
      </c>
      <c r="P271" s="1" t="s">
        <v>556</v>
      </c>
      <c r="Q271" s="1" t="s">
        <v>54</v>
      </c>
      <c r="R271" s="1" t="s">
        <v>547</v>
      </c>
    </row>
    <row r="272">
      <c r="A272" s="1" t="s">
        <v>542</v>
      </c>
      <c r="C272" s="1" t="s">
        <v>2346</v>
      </c>
      <c r="D272" s="56" t="s">
        <v>2491</v>
      </c>
      <c r="E272" s="56" t="s">
        <v>2492</v>
      </c>
      <c r="F272" s="56" t="s">
        <v>2493</v>
      </c>
      <c r="G272" s="56" t="s">
        <v>2494</v>
      </c>
      <c r="H272" s="1" t="s">
        <v>39</v>
      </c>
      <c r="I272" s="1" t="s">
        <v>547</v>
      </c>
      <c r="J272" s="1">
        <v>6.0</v>
      </c>
      <c r="K272" s="39"/>
      <c r="L272" s="54">
        <v>41826.0</v>
      </c>
      <c r="M272" s="1" t="s">
        <v>559</v>
      </c>
      <c r="N272" s="1" t="s">
        <v>473</v>
      </c>
      <c r="O272" s="1" t="s">
        <v>560</v>
      </c>
      <c r="P272" s="1" t="s">
        <v>561</v>
      </c>
      <c r="Q272" s="1" t="s">
        <v>44</v>
      </c>
      <c r="R272" s="1" t="s">
        <v>547</v>
      </c>
    </row>
    <row r="273">
      <c r="A273" s="1" t="s">
        <v>542</v>
      </c>
      <c r="C273" s="1" t="s">
        <v>2346</v>
      </c>
      <c r="D273" s="56" t="s">
        <v>2491</v>
      </c>
      <c r="E273" s="56" t="s">
        <v>2492</v>
      </c>
      <c r="F273" s="56" t="s">
        <v>2495</v>
      </c>
      <c r="G273" s="56" t="s">
        <v>2494</v>
      </c>
      <c r="H273" s="1" t="s">
        <v>39</v>
      </c>
      <c r="I273" s="1" t="s">
        <v>547</v>
      </c>
      <c r="J273" s="1">
        <v>7.0</v>
      </c>
      <c r="K273" s="39"/>
      <c r="L273" s="2" t="s">
        <v>562</v>
      </c>
      <c r="M273" s="1" t="s">
        <v>563</v>
      </c>
      <c r="N273" s="1" t="s">
        <v>564</v>
      </c>
      <c r="O273" s="1" t="s">
        <v>565</v>
      </c>
      <c r="P273" s="1" t="s">
        <v>566</v>
      </c>
      <c r="Q273" s="1" t="s">
        <v>39</v>
      </c>
      <c r="R273" s="1" t="s">
        <v>547</v>
      </c>
    </row>
    <row r="274">
      <c r="A274" s="1" t="s">
        <v>542</v>
      </c>
      <c r="C274" s="1" t="s">
        <v>2346</v>
      </c>
      <c r="D274" s="56" t="s">
        <v>2496</v>
      </c>
      <c r="E274" s="56" t="s">
        <v>2497</v>
      </c>
      <c r="F274" s="56" t="s">
        <v>2498</v>
      </c>
      <c r="G274" s="56" t="s">
        <v>2499</v>
      </c>
      <c r="H274" s="1" t="s">
        <v>39</v>
      </c>
      <c r="I274" s="1" t="s">
        <v>547</v>
      </c>
      <c r="J274" s="1">
        <v>8.0</v>
      </c>
      <c r="K274" s="39"/>
      <c r="L274" s="2">
        <v>16.0</v>
      </c>
      <c r="M274" s="1" t="s">
        <v>567</v>
      </c>
      <c r="N274" s="1" t="s">
        <v>568</v>
      </c>
      <c r="O274" s="1" t="s">
        <v>569</v>
      </c>
      <c r="P274" s="1" t="s">
        <v>570</v>
      </c>
      <c r="Q274" s="1" t="s">
        <v>39</v>
      </c>
      <c r="R274" s="1" t="s">
        <v>547</v>
      </c>
    </row>
    <row r="275">
      <c r="A275" s="1" t="s">
        <v>542</v>
      </c>
      <c r="C275" s="1" t="s">
        <v>2250</v>
      </c>
      <c r="D275" s="1" t="s">
        <v>543</v>
      </c>
      <c r="E275" s="1" t="s">
        <v>544</v>
      </c>
      <c r="F275" s="1" t="s">
        <v>545</v>
      </c>
      <c r="G275" s="1" t="s">
        <v>546</v>
      </c>
      <c r="H275" s="1" t="s">
        <v>54</v>
      </c>
      <c r="I275" s="1" t="s">
        <v>547</v>
      </c>
      <c r="J275" s="1">
        <v>9.0</v>
      </c>
      <c r="K275" s="39"/>
      <c r="L275" s="45"/>
    </row>
    <row r="276">
      <c r="A276" s="1" t="s">
        <v>542</v>
      </c>
      <c r="C276" s="1" t="s">
        <v>2250</v>
      </c>
      <c r="D276" s="1" t="s">
        <v>548</v>
      </c>
      <c r="E276" s="1" t="s">
        <v>2500</v>
      </c>
      <c r="F276" s="1" t="s">
        <v>550</v>
      </c>
      <c r="G276" s="1" t="s">
        <v>551</v>
      </c>
      <c r="H276" s="1" t="s">
        <v>54</v>
      </c>
      <c r="I276" s="1" t="s">
        <v>547</v>
      </c>
      <c r="J276" s="1">
        <v>10.0</v>
      </c>
      <c r="K276" s="39"/>
      <c r="L276" s="45"/>
    </row>
    <row r="277">
      <c r="A277" s="1" t="s">
        <v>542</v>
      </c>
      <c r="C277" s="1" t="s">
        <v>2250</v>
      </c>
      <c r="D277" s="1" t="s">
        <v>548</v>
      </c>
      <c r="E277" s="1" t="s">
        <v>2500</v>
      </c>
      <c r="F277" s="1" t="s">
        <v>552</v>
      </c>
      <c r="G277" s="1" t="s">
        <v>551</v>
      </c>
      <c r="H277" s="1" t="s">
        <v>54</v>
      </c>
      <c r="I277" s="1" t="s">
        <v>547</v>
      </c>
      <c r="J277" s="1">
        <v>11.0</v>
      </c>
      <c r="K277" s="39"/>
      <c r="L277" s="45"/>
    </row>
    <row r="278">
      <c r="A278" s="1" t="s">
        <v>542</v>
      </c>
      <c r="C278" s="1" t="s">
        <v>2250</v>
      </c>
      <c r="D278" s="1" t="s">
        <v>553</v>
      </c>
      <c r="E278" s="1" t="s">
        <v>554</v>
      </c>
      <c r="F278" s="1" t="s">
        <v>555</v>
      </c>
      <c r="G278" s="1" t="s">
        <v>556</v>
      </c>
      <c r="H278" s="1" t="s">
        <v>54</v>
      </c>
      <c r="I278" s="1" t="s">
        <v>547</v>
      </c>
      <c r="J278" s="1">
        <v>12.0</v>
      </c>
      <c r="K278" s="39"/>
      <c r="L278" s="45"/>
    </row>
    <row r="279">
      <c r="A279" s="1" t="s">
        <v>542</v>
      </c>
      <c r="C279" s="1" t="s">
        <v>2250</v>
      </c>
      <c r="D279" s="1" t="s">
        <v>553</v>
      </c>
      <c r="E279" s="1" t="s">
        <v>554</v>
      </c>
      <c r="F279" s="1" t="s">
        <v>558</v>
      </c>
      <c r="G279" s="1" t="s">
        <v>556</v>
      </c>
      <c r="H279" s="1" t="s">
        <v>54</v>
      </c>
      <c r="I279" s="1" t="s">
        <v>547</v>
      </c>
      <c r="J279" s="1">
        <v>13.0</v>
      </c>
      <c r="K279" s="39"/>
      <c r="L279" s="45"/>
    </row>
    <row r="280">
      <c r="A280" s="1" t="s">
        <v>542</v>
      </c>
      <c r="C280" s="1" t="s">
        <v>2250</v>
      </c>
      <c r="D280" s="1" t="s">
        <v>559</v>
      </c>
      <c r="E280" s="1" t="s">
        <v>473</v>
      </c>
      <c r="F280" s="1" t="s">
        <v>560</v>
      </c>
      <c r="G280" s="1" t="s">
        <v>561</v>
      </c>
      <c r="H280" s="1" t="s">
        <v>44</v>
      </c>
      <c r="I280" s="1" t="s">
        <v>547</v>
      </c>
      <c r="J280" s="1">
        <v>14.0</v>
      </c>
      <c r="K280" s="39"/>
      <c r="L280" s="45"/>
    </row>
    <row r="281">
      <c r="A281" s="1" t="s">
        <v>542</v>
      </c>
      <c r="C281" s="1" t="s">
        <v>2250</v>
      </c>
      <c r="D281" s="1" t="s">
        <v>563</v>
      </c>
      <c r="E281" s="1" t="s">
        <v>564</v>
      </c>
      <c r="F281" s="1" t="s">
        <v>565</v>
      </c>
      <c r="G281" s="1" t="s">
        <v>566</v>
      </c>
      <c r="H281" s="1" t="s">
        <v>39</v>
      </c>
      <c r="I281" s="1" t="s">
        <v>547</v>
      </c>
      <c r="J281" s="1">
        <v>15.0</v>
      </c>
      <c r="K281" s="39"/>
      <c r="L281" s="45"/>
    </row>
    <row r="282">
      <c r="A282" s="1" t="s">
        <v>542</v>
      </c>
      <c r="C282" s="1" t="s">
        <v>2250</v>
      </c>
      <c r="D282" s="1" t="s">
        <v>567</v>
      </c>
      <c r="E282" s="1" t="s">
        <v>568</v>
      </c>
      <c r="F282" s="1" t="s">
        <v>569</v>
      </c>
      <c r="G282" s="1" t="s">
        <v>570</v>
      </c>
      <c r="H282" s="1" t="s">
        <v>39</v>
      </c>
      <c r="I282" s="1" t="s">
        <v>547</v>
      </c>
      <c r="J282" s="1">
        <v>16.0</v>
      </c>
      <c r="K282" s="39"/>
      <c r="L282" s="45"/>
    </row>
    <row r="283">
      <c r="A283" s="47"/>
      <c r="B283" s="47"/>
      <c r="C283" s="47"/>
      <c r="D283" s="47"/>
      <c r="E283" s="47"/>
      <c r="F283" s="47"/>
      <c r="G283" s="47"/>
      <c r="H283" s="47"/>
      <c r="I283" s="47"/>
      <c r="J283" s="47"/>
      <c r="K283" s="47"/>
      <c r="L283" s="48"/>
      <c r="M283" s="47"/>
      <c r="N283" s="47"/>
      <c r="O283" s="47"/>
      <c r="P283" s="47"/>
      <c r="Q283" s="47"/>
      <c r="R283" s="47"/>
      <c r="S283" s="47"/>
      <c r="T283" s="47"/>
      <c r="U283" s="47"/>
      <c r="V283" s="47"/>
      <c r="W283" s="47"/>
      <c r="X283" s="47"/>
      <c r="Y283" s="47"/>
      <c r="Z283" s="47"/>
    </row>
    <row r="284">
      <c r="A284" s="22" t="s">
        <v>571</v>
      </c>
      <c r="D284" s="57" t="s">
        <v>573</v>
      </c>
      <c r="E284" s="57" t="s">
        <v>574</v>
      </c>
      <c r="F284" s="57" t="s">
        <v>575</v>
      </c>
      <c r="G284" s="57" t="s">
        <v>576</v>
      </c>
      <c r="H284" s="9" t="s">
        <v>91</v>
      </c>
      <c r="I284" s="9" t="s">
        <v>577</v>
      </c>
      <c r="J284" s="14">
        <v>1.0</v>
      </c>
      <c r="K284" s="39"/>
      <c r="L284" s="2" t="s">
        <v>572</v>
      </c>
      <c r="M284" s="58" t="s">
        <v>573</v>
      </c>
      <c r="N284" s="58" t="s">
        <v>574</v>
      </c>
      <c r="O284" s="58" t="s">
        <v>575</v>
      </c>
      <c r="P284" s="58" t="s">
        <v>576</v>
      </c>
      <c r="Q284" s="17" t="s">
        <v>91</v>
      </c>
      <c r="R284" s="17" t="s">
        <v>577</v>
      </c>
    </row>
    <row r="285">
      <c r="A285" s="22" t="s">
        <v>571</v>
      </c>
      <c r="D285" s="57" t="s">
        <v>579</v>
      </c>
      <c r="E285" s="57" t="s">
        <v>412</v>
      </c>
      <c r="F285" s="57" t="s">
        <v>580</v>
      </c>
      <c r="G285" s="57" t="s">
        <v>38</v>
      </c>
      <c r="H285" s="9" t="s">
        <v>39</v>
      </c>
      <c r="I285" s="9" t="s">
        <v>577</v>
      </c>
      <c r="J285" s="14">
        <v>2.0</v>
      </c>
      <c r="K285" s="39"/>
      <c r="L285" s="2" t="s">
        <v>578</v>
      </c>
      <c r="M285" s="59" t="s">
        <v>579</v>
      </c>
      <c r="N285" s="59" t="s">
        <v>412</v>
      </c>
      <c r="O285" s="59" t="s">
        <v>580</v>
      </c>
      <c r="P285" s="59" t="s">
        <v>38</v>
      </c>
      <c r="Q285" s="8" t="s">
        <v>39</v>
      </c>
      <c r="R285" s="8" t="s">
        <v>577</v>
      </c>
    </row>
    <row r="286">
      <c r="A286" s="22" t="s">
        <v>571</v>
      </c>
      <c r="D286" s="57" t="s">
        <v>579</v>
      </c>
      <c r="E286" s="57" t="s">
        <v>2501</v>
      </c>
      <c r="F286" s="57" t="s">
        <v>582</v>
      </c>
      <c r="G286" s="57" t="s">
        <v>309</v>
      </c>
      <c r="H286" s="9" t="s">
        <v>39</v>
      </c>
      <c r="I286" s="9" t="s">
        <v>577</v>
      </c>
      <c r="J286" s="14">
        <v>3.0</v>
      </c>
      <c r="K286" s="39"/>
      <c r="L286" s="2" t="s">
        <v>581</v>
      </c>
      <c r="M286" s="59" t="s">
        <v>579</v>
      </c>
      <c r="N286" s="59" t="s">
        <v>2501</v>
      </c>
      <c r="O286" s="59" t="s">
        <v>582</v>
      </c>
      <c r="P286" s="59" t="s">
        <v>309</v>
      </c>
      <c r="Q286" s="8" t="s">
        <v>39</v>
      </c>
      <c r="R286" s="8" t="s">
        <v>577</v>
      </c>
    </row>
    <row r="287">
      <c r="A287" s="22" t="s">
        <v>571</v>
      </c>
      <c r="D287" s="60" t="s">
        <v>2502</v>
      </c>
      <c r="E287" s="60" t="s">
        <v>574</v>
      </c>
      <c r="F287" s="60" t="s">
        <v>593</v>
      </c>
      <c r="G287" s="60" t="s">
        <v>2503</v>
      </c>
      <c r="H287" s="60" t="s">
        <v>2388</v>
      </c>
      <c r="I287" s="60" t="s">
        <v>577</v>
      </c>
      <c r="J287" s="14">
        <v>4.0</v>
      </c>
      <c r="K287" s="39"/>
      <c r="L287" s="2">
        <v>8.0</v>
      </c>
      <c r="M287" s="17" t="s">
        <v>583</v>
      </c>
      <c r="N287" s="22"/>
      <c r="O287" s="17" t="s">
        <v>584</v>
      </c>
      <c r="P287" s="17" t="s">
        <v>585</v>
      </c>
      <c r="Q287" s="35" t="s">
        <v>586</v>
      </c>
      <c r="R287" s="17" t="s">
        <v>577</v>
      </c>
    </row>
    <row r="288">
      <c r="A288" s="22" t="s">
        <v>571</v>
      </c>
      <c r="D288" s="60" t="s">
        <v>2504</v>
      </c>
      <c r="E288" s="61"/>
      <c r="F288" s="60" t="s">
        <v>934</v>
      </c>
      <c r="G288" s="60" t="s">
        <v>1385</v>
      </c>
      <c r="H288" s="60" t="s">
        <v>39</v>
      </c>
      <c r="I288" s="60" t="s">
        <v>577</v>
      </c>
      <c r="J288" s="14">
        <v>5.0</v>
      </c>
      <c r="K288" s="39"/>
      <c r="L288" s="2"/>
      <c r="M288" s="17"/>
      <c r="N288" s="17"/>
      <c r="O288" s="17"/>
      <c r="P288" s="17"/>
      <c r="Q288" s="17"/>
      <c r="R288" s="17"/>
    </row>
    <row r="289">
      <c r="A289" s="22" t="s">
        <v>571</v>
      </c>
      <c r="D289" s="60" t="s">
        <v>2504</v>
      </c>
      <c r="E289" s="61"/>
      <c r="F289" s="60" t="s">
        <v>2505</v>
      </c>
      <c r="G289" s="60" t="s">
        <v>1385</v>
      </c>
      <c r="H289" s="60" t="s">
        <v>39</v>
      </c>
      <c r="I289" s="60" t="s">
        <v>577</v>
      </c>
      <c r="J289" s="14">
        <v>6.0</v>
      </c>
      <c r="K289" s="39"/>
      <c r="L289" s="54"/>
      <c r="M289" s="17"/>
      <c r="N289" s="17"/>
      <c r="O289" s="17"/>
      <c r="P289" s="17"/>
      <c r="Q289" s="17"/>
      <c r="R289" s="17"/>
    </row>
    <row r="290">
      <c r="A290" s="22" t="s">
        <v>571</v>
      </c>
      <c r="D290" s="60" t="s">
        <v>2504</v>
      </c>
      <c r="E290" s="61"/>
      <c r="F290" s="60" t="s">
        <v>2392</v>
      </c>
      <c r="G290" s="60" t="s">
        <v>364</v>
      </c>
      <c r="H290" s="60" t="s">
        <v>39</v>
      </c>
      <c r="I290" s="60" t="s">
        <v>577</v>
      </c>
      <c r="J290" s="14">
        <v>7.0</v>
      </c>
      <c r="K290" s="39"/>
      <c r="L290" s="2"/>
      <c r="M290" s="17"/>
      <c r="N290" s="17"/>
      <c r="O290" s="17"/>
      <c r="P290" s="17"/>
      <c r="Q290" s="17"/>
      <c r="R290" s="17"/>
    </row>
    <row r="291">
      <c r="A291" s="22" t="s">
        <v>571</v>
      </c>
      <c r="D291" s="17" t="s">
        <v>583</v>
      </c>
      <c r="E291" s="22"/>
      <c r="F291" s="17" t="s">
        <v>584</v>
      </c>
      <c r="G291" s="17" t="s">
        <v>585</v>
      </c>
      <c r="H291" s="17" t="s">
        <v>39</v>
      </c>
      <c r="I291" s="17" t="s">
        <v>577</v>
      </c>
      <c r="J291" s="1">
        <v>8.0</v>
      </c>
      <c r="K291" s="39"/>
      <c r="L291" s="2"/>
      <c r="M291" s="17"/>
      <c r="N291" s="17"/>
      <c r="O291" s="35"/>
      <c r="P291" s="17"/>
      <c r="Q291" s="17"/>
      <c r="R291" s="17"/>
    </row>
    <row r="292">
      <c r="A292" s="22" t="s">
        <v>571</v>
      </c>
      <c r="D292" s="17"/>
      <c r="E292" s="17"/>
      <c r="F292" s="17"/>
      <c r="G292" s="17"/>
      <c r="H292" s="17"/>
      <c r="I292" s="17"/>
      <c r="J292" s="1">
        <v>9.0</v>
      </c>
      <c r="K292" s="39"/>
      <c r="L292" s="45"/>
    </row>
    <row r="293">
      <c r="A293" s="22" t="s">
        <v>571</v>
      </c>
      <c r="D293" s="17"/>
      <c r="E293" s="17"/>
      <c r="F293" s="17"/>
      <c r="G293" s="17"/>
      <c r="H293" s="17"/>
      <c r="I293" s="17"/>
      <c r="J293" s="1">
        <v>10.0</v>
      </c>
      <c r="K293" s="39"/>
      <c r="L293" s="45"/>
    </row>
    <row r="294">
      <c r="A294" s="22" t="s">
        <v>571</v>
      </c>
      <c r="D294" s="17"/>
      <c r="E294" s="17"/>
      <c r="F294" s="17"/>
      <c r="G294" s="17"/>
      <c r="H294" s="17"/>
      <c r="I294" s="17"/>
      <c r="J294" s="1">
        <v>11.0</v>
      </c>
      <c r="K294" s="39"/>
      <c r="L294" s="45"/>
    </row>
    <row r="295">
      <c r="A295" s="22" t="s">
        <v>571</v>
      </c>
      <c r="D295" s="17"/>
      <c r="E295" s="17"/>
      <c r="F295" s="17"/>
      <c r="G295" s="17"/>
      <c r="H295" s="17"/>
      <c r="I295" s="17"/>
      <c r="J295" s="1">
        <v>12.0</v>
      </c>
      <c r="K295" s="39"/>
      <c r="L295" s="45"/>
    </row>
    <row r="296">
      <c r="A296" s="22" t="s">
        <v>571</v>
      </c>
      <c r="D296" s="17"/>
      <c r="E296" s="17"/>
      <c r="F296" s="17"/>
      <c r="G296" s="17"/>
      <c r="H296" s="17"/>
      <c r="I296" s="17"/>
      <c r="J296" s="1">
        <v>13.0</v>
      </c>
      <c r="K296" s="39"/>
      <c r="L296" s="45"/>
    </row>
    <row r="297">
      <c r="A297" s="22" t="s">
        <v>571</v>
      </c>
      <c r="D297" s="17"/>
      <c r="E297" s="17"/>
      <c r="F297" s="17"/>
      <c r="G297" s="17"/>
      <c r="H297" s="17"/>
      <c r="I297" s="17"/>
      <c r="J297" s="1">
        <v>14.0</v>
      </c>
      <c r="K297" s="39"/>
      <c r="L297" s="45"/>
    </row>
    <row r="298">
      <c r="A298" s="22" t="s">
        <v>571</v>
      </c>
      <c r="D298" s="17"/>
      <c r="E298" s="17"/>
      <c r="F298" s="17"/>
      <c r="G298" s="17"/>
      <c r="H298" s="17"/>
      <c r="I298" s="17"/>
      <c r="J298" s="1">
        <v>15.0</v>
      </c>
      <c r="K298" s="39"/>
      <c r="L298" s="45"/>
    </row>
    <row r="299">
      <c r="A299" s="22" t="s">
        <v>571</v>
      </c>
      <c r="D299" s="17"/>
      <c r="E299" s="17"/>
      <c r="F299" s="17"/>
      <c r="G299" s="17"/>
      <c r="H299" s="17"/>
      <c r="I299" s="17"/>
      <c r="J299" s="1">
        <v>16.0</v>
      </c>
      <c r="K299" s="39"/>
      <c r="L299" s="45"/>
    </row>
    <row r="300">
      <c r="A300" s="47"/>
      <c r="B300" s="47"/>
      <c r="C300" s="47"/>
      <c r="D300" s="47"/>
      <c r="E300" s="47"/>
      <c r="F300" s="47"/>
      <c r="G300" s="47"/>
      <c r="H300" s="47"/>
      <c r="I300" s="47"/>
      <c r="J300" s="47"/>
      <c r="K300" s="47"/>
      <c r="L300" s="48"/>
      <c r="M300" s="47"/>
      <c r="N300" s="47"/>
      <c r="O300" s="47"/>
      <c r="P300" s="47"/>
      <c r="Q300" s="47"/>
      <c r="R300" s="47"/>
      <c r="S300" s="47"/>
      <c r="T300" s="47"/>
      <c r="U300" s="47"/>
      <c r="V300" s="47"/>
      <c r="W300" s="47"/>
      <c r="X300" s="47"/>
      <c r="Y300" s="47"/>
      <c r="Z300" s="47"/>
    </row>
    <row r="301">
      <c r="A301" s="22" t="s">
        <v>587</v>
      </c>
      <c r="C301" s="1" t="s">
        <v>2384</v>
      </c>
      <c r="D301" s="17" t="s">
        <v>2506</v>
      </c>
      <c r="E301" s="17" t="s">
        <v>2507</v>
      </c>
      <c r="F301" s="17" t="s">
        <v>593</v>
      </c>
      <c r="G301" s="17" t="s">
        <v>2508</v>
      </c>
      <c r="H301" s="17" t="s">
        <v>2388</v>
      </c>
      <c r="I301" s="17" t="s">
        <v>372</v>
      </c>
      <c r="J301" s="1">
        <v>1.0</v>
      </c>
      <c r="K301" s="39"/>
      <c r="L301" s="2">
        <v>2.0</v>
      </c>
      <c r="M301" s="22" t="s">
        <v>588</v>
      </c>
      <c r="N301" s="22" t="s">
        <v>33</v>
      </c>
      <c r="O301" s="22" t="s">
        <v>589</v>
      </c>
      <c r="P301" s="22" t="s">
        <v>590</v>
      </c>
      <c r="Q301" s="22" t="s">
        <v>91</v>
      </c>
      <c r="R301" s="22" t="s">
        <v>372</v>
      </c>
    </row>
    <row r="302">
      <c r="A302" s="22" t="s">
        <v>587</v>
      </c>
      <c r="C302" s="1" t="s">
        <v>2250</v>
      </c>
      <c r="D302" s="22" t="s">
        <v>588</v>
      </c>
      <c r="E302" s="22" t="s">
        <v>33</v>
      </c>
      <c r="F302" s="22" t="s">
        <v>589</v>
      </c>
      <c r="G302" s="22" t="s">
        <v>590</v>
      </c>
      <c r="H302" s="22" t="s">
        <v>91</v>
      </c>
      <c r="I302" s="22" t="s">
        <v>372</v>
      </c>
      <c r="J302" s="35">
        <v>2.0</v>
      </c>
      <c r="K302" s="39"/>
      <c r="L302" s="2">
        <v>1.3</v>
      </c>
      <c r="M302" s="22" t="s">
        <v>591</v>
      </c>
      <c r="N302" s="22" t="s">
        <v>592</v>
      </c>
      <c r="O302" s="22" t="s">
        <v>593</v>
      </c>
      <c r="P302" s="22" t="s">
        <v>594</v>
      </c>
      <c r="Q302" s="22" t="s">
        <v>91</v>
      </c>
      <c r="R302" s="22" t="s">
        <v>372</v>
      </c>
    </row>
    <row r="303">
      <c r="A303" s="22" t="s">
        <v>587</v>
      </c>
      <c r="C303" s="1" t="s">
        <v>2250</v>
      </c>
      <c r="D303" s="22" t="s">
        <v>591</v>
      </c>
      <c r="E303" s="22" t="s">
        <v>592</v>
      </c>
      <c r="F303" s="22" t="s">
        <v>593</v>
      </c>
      <c r="G303" s="22" t="s">
        <v>594</v>
      </c>
      <c r="H303" s="22" t="s">
        <v>91</v>
      </c>
      <c r="I303" s="22" t="s">
        <v>372</v>
      </c>
      <c r="J303" s="1">
        <v>3.0</v>
      </c>
      <c r="K303" s="39"/>
      <c r="L303" s="2">
        <v>4.0</v>
      </c>
      <c r="M303" s="22" t="s">
        <v>595</v>
      </c>
      <c r="N303" s="22" t="s">
        <v>33</v>
      </c>
      <c r="O303" s="22" t="s">
        <v>596</v>
      </c>
      <c r="P303" s="22" t="s">
        <v>597</v>
      </c>
      <c r="Q303" s="22" t="s">
        <v>44</v>
      </c>
      <c r="R303" s="22" t="s">
        <v>372</v>
      </c>
    </row>
    <row r="304">
      <c r="A304" s="22" t="s">
        <v>587</v>
      </c>
      <c r="C304" s="1" t="s">
        <v>2250</v>
      </c>
      <c r="D304" s="22" t="s">
        <v>595</v>
      </c>
      <c r="E304" s="22" t="s">
        <v>33</v>
      </c>
      <c r="F304" s="22" t="s">
        <v>596</v>
      </c>
      <c r="G304" s="22" t="s">
        <v>597</v>
      </c>
      <c r="H304" s="22" t="s">
        <v>44</v>
      </c>
      <c r="I304" s="22" t="s">
        <v>372</v>
      </c>
      <c r="J304" s="35">
        <v>4.0</v>
      </c>
      <c r="K304" s="39"/>
      <c r="L304" s="45"/>
    </row>
    <row r="305">
      <c r="A305" s="47"/>
      <c r="B305" s="47"/>
      <c r="C305" s="47"/>
      <c r="D305" s="47"/>
      <c r="E305" s="47"/>
      <c r="F305" s="47"/>
      <c r="G305" s="47"/>
      <c r="H305" s="47"/>
      <c r="I305" s="47"/>
      <c r="J305" s="47"/>
      <c r="K305" s="47"/>
      <c r="L305" s="48"/>
      <c r="M305" s="47"/>
      <c r="N305" s="47"/>
      <c r="O305" s="47"/>
      <c r="P305" s="47"/>
      <c r="Q305" s="47"/>
      <c r="R305" s="47"/>
      <c r="S305" s="47"/>
      <c r="T305" s="47"/>
      <c r="U305" s="47"/>
      <c r="V305" s="47"/>
      <c r="W305" s="47"/>
      <c r="X305" s="47"/>
      <c r="Y305" s="47"/>
      <c r="Z305" s="47"/>
    </row>
    <row r="306">
      <c r="A306" s="22" t="s">
        <v>598</v>
      </c>
      <c r="C306" s="1" t="s">
        <v>2346</v>
      </c>
      <c r="D306" s="56" t="s">
        <v>2509</v>
      </c>
      <c r="E306" s="56" t="s">
        <v>2510</v>
      </c>
      <c r="F306" s="56" t="s">
        <v>2511</v>
      </c>
      <c r="G306" s="56" t="s">
        <v>2512</v>
      </c>
      <c r="H306" s="1" t="s">
        <v>44</v>
      </c>
      <c r="I306" s="1" t="s">
        <v>603</v>
      </c>
      <c r="J306" s="1">
        <v>1.0</v>
      </c>
      <c r="K306" s="39"/>
      <c r="L306" s="2" t="s">
        <v>202</v>
      </c>
      <c r="M306" s="22" t="s">
        <v>599</v>
      </c>
      <c r="N306" s="22" t="s">
        <v>600</v>
      </c>
      <c r="O306" s="22" t="s">
        <v>601</v>
      </c>
      <c r="P306" s="22" t="s">
        <v>602</v>
      </c>
      <c r="Q306" s="22" t="s">
        <v>44</v>
      </c>
      <c r="R306" s="22" t="s">
        <v>603</v>
      </c>
    </row>
    <row r="307">
      <c r="A307" s="22" t="s">
        <v>598</v>
      </c>
      <c r="C307" s="1" t="s">
        <v>2346</v>
      </c>
      <c r="D307" s="56" t="s">
        <v>2513</v>
      </c>
      <c r="E307" s="56" t="s">
        <v>2510</v>
      </c>
      <c r="F307" s="56" t="s">
        <v>2514</v>
      </c>
      <c r="G307" s="56" t="s">
        <v>2512</v>
      </c>
      <c r="H307" s="1" t="s">
        <v>44</v>
      </c>
      <c r="I307" s="1" t="s">
        <v>603</v>
      </c>
      <c r="J307" s="1">
        <v>2.0</v>
      </c>
      <c r="K307" s="39"/>
      <c r="L307" s="2" t="s">
        <v>604</v>
      </c>
      <c r="M307" s="22" t="s">
        <v>605</v>
      </c>
      <c r="N307" s="22" t="s">
        <v>600</v>
      </c>
      <c r="O307" s="22" t="s">
        <v>606</v>
      </c>
      <c r="P307" s="22" t="s">
        <v>602</v>
      </c>
      <c r="Q307" s="22" t="s">
        <v>44</v>
      </c>
      <c r="R307" s="22" t="s">
        <v>603</v>
      </c>
    </row>
    <row r="308">
      <c r="A308" s="22" t="s">
        <v>598</v>
      </c>
      <c r="C308" s="1" t="s">
        <v>2346</v>
      </c>
      <c r="D308" s="56" t="s">
        <v>2515</v>
      </c>
      <c r="E308" s="56" t="s">
        <v>2510</v>
      </c>
      <c r="F308" s="56" t="s">
        <v>2516</v>
      </c>
      <c r="G308" s="56" t="s">
        <v>2512</v>
      </c>
      <c r="H308" s="1" t="s">
        <v>44</v>
      </c>
      <c r="I308" s="1" t="s">
        <v>603</v>
      </c>
      <c r="J308" s="1">
        <v>3.0</v>
      </c>
      <c r="K308" s="39"/>
      <c r="L308" s="1" t="s">
        <v>607</v>
      </c>
      <c r="M308" s="22" t="s">
        <v>608</v>
      </c>
      <c r="N308" s="22" t="s">
        <v>600</v>
      </c>
      <c r="O308" s="22" t="s">
        <v>609</v>
      </c>
      <c r="P308" s="22" t="s">
        <v>602</v>
      </c>
      <c r="Q308" s="22" t="s">
        <v>44</v>
      </c>
      <c r="R308" s="22" t="s">
        <v>603</v>
      </c>
    </row>
    <row r="309">
      <c r="A309" s="22" t="s">
        <v>598</v>
      </c>
      <c r="C309" s="1" t="s">
        <v>2346</v>
      </c>
      <c r="D309" s="56" t="s">
        <v>2517</v>
      </c>
      <c r="E309" s="56" t="s">
        <v>2518</v>
      </c>
      <c r="F309" s="56" t="s">
        <v>2519</v>
      </c>
      <c r="G309" s="56" t="s">
        <v>2520</v>
      </c>
      <c r="H309" s="1" t="s">
        <v>39</v>
      </c>
      <c r="I309" s="1" t="s">
        <v>603</v>
      </c>
      <c r="J309" s="1">
        <v>4.0</v>
      </c>
      <c r="K309" s="39"/>
      <c r="L309" s="1" t="s">
        <v>610</v>
      </c>
      <c r="M309" s="22" t="s">
        <v>611</v>
      </c>
      <c r="N309" s="22" t="s">
        <v>612</v>
      </c>
      <c r="O309" s="22" t="s">
        <v>613</v>
      </c>
      <c r="P309" s="22" t="s">
        <v>2521</v>
      </c>
      <c r="Q309" s="22" t="s">
        <v>39</v>
      </c>
      <c r="R309" s="22" t="s">
        <v>603</v>
      </c>
    </row>
    <row r="310">
      <c r="A310" s="22" t="s">
        <v>598</v>
      </c>
      <c r="C310" s="1" t="s">
        <v>2346</v>
      </c>
      <c r="D310" s="56" t="s">
        <v>2522</v>
      </c>
      <c r="E310" s="56" t="s">
        <v>2518</v>
      </c>
      <c r="F310" s="56" t="s">
        <v>2523</v>
      </c>
      <c r="G310" s="56" t="s">
        <v>2524</v>
      </c>
      <c r="H310" s="1" t="s">
        <v>39</v>
      </c>
      <c r="I310" s="1" t="s">
        <v>603</v>
      </c>
      <c r="J310" s="1">
        <v>5.0</v>
      </c>
      <c r="K310" s="39"/>
      <c r="L310" s="1" t="s">
        <v>92</v>
      </c>
      <c r="M310" s="22" t="s">
        <v>611</v>
      </c>
      <c r="N310" s="22" t="s">
        <v>612</v>
      </c>
      <c r="O310" s="22" t="s">
        <v>615</v>
      </c>
      <c r="P310" s="22" t="s">
        <v>2521</v>
      </c>
      <c r="Q310" s="22" t="s">
        <v>39</v>
      </c>
      <c r="R310" s="22" t="s">
        <v>603</v>
      </c>
    </row>
    <row r="311">
      <c r="A311" s="22" t="s">
        <v>598</v>
      </c>
      <c r="C311" s="1" t="s">
        <v>2346</v>
      </c>
      <c r="D311" s="56" t="s">
        <v>2525</v>
      </c>
      <c r="E311" s="56" t="s">
        <v>2526</v>
      </c>
      <c r="F311" s="56" t="s">
        <v>618</v>
      </c>
      <c r="G311" s="56" t="s">
        <v>2527</v>
      </c>
      <c r="H311" s="1" t="s">
        <v>54</v>
      </c>
      <c r="I311" s="1" t="s">
        <v>603</v>
      </c>
      <c r="J311" s="1">
        <v>6.0</v>
      </c>
      <c r="K311" s="39"/>
      <c r="L311" s="1" t="s">
        <v>616</v>
      </c>
      <c r="M311" s="22" t="s">
        <v>617</v>
      </c>
      <c r="N311" s="22" t="s">
        <v>2528</v>
      </c>
      <c r="O311" s="22" t="s">
        <v>618</v>
      </c>
      <c r="P311" s="22" t="s">
        <v>619</v>
      </c>
      <c r="Q311" s="22" t="s">
        <v>54</v>
      </c>
      <c r="R311" s="22" t="s">
        <v>603</v>
      </c>
    </row>
    <row r="312">
      <c r="A312" s="22" t="s">
        <v>598</v>
      </c>
      <c r="C312" s="1" t="s">
        <v>2346</v>
      </c>
      <c r="D312" s="56" t="s">
        <v>2354</v>
      </c>
      <c r="E312" s="56" t="s">
        <v>2526</v>
      </c>
      <c r="F312" s="56" t="s">
        <v>622</v>
      </c>
      <c r="G312" s="56" t="s">
        <v>2527</v>
      </c>
      <c r="H312" s="1" t="s">
        <v>39</v>
      </c>
      <c r="I312" s="1" t="s">
        <v>603</v>
      </c>
      <c r="J312" s="1">
        <v>7.0</v>
      </c>
      <c r="K312" s="39"/>
      <c r="L312" s="1" t="s">
        <v>620</v>
      </c>
      <c r="M312" s="22" t="s">
        <v>621</v>
      </c>
      <c r="N312" s="22" t="s">
        <v>2528</v>
      </c>
      <c r="O312" s="22" t="s">
        <v>2529</v>
      </c>
      <c r="P312" s="22" t="s">
        <v>619</v>
      </c>
      <c r="Q312" s="22" t="s">
        <v>54</v>
      </c>
      <c r="R312" s="22" t="s">
        <v>603</v>
      </c>
    </row>
    <row r="313">
      <c r="A313" s="22" t="s">
        <v>598</v>
      </c>
      <c r="C313" s="1" t="s">
        <v>2346</v>
      </c>
      <c r="D313" s="56" t="s">
        <v>2007</v>
      </c>
      <c r="E313" s="56" t="s">
        <v>2526</v>
      </c>
      <c r="F313" s="56" t="s">
        <v>2530</v>
      </c>
      <c r="G313" s="56" t="s">
        <v>2527</v>
      </c>
      <c r="H313" s="1" t="s">
        <v>39</v>
      </c>
      <c r="I313" s="1" t="s">
        <v>603</v>
      </c>
      <c r="J313" s="1">
        <v>8.0</v>
      </c>
      <c r="K313" s="39"/>
      <c r="L313" s="1" t="s">
        <v>623</v>
      </c>
      <c r="M313" s="22" t="s">
        <v>624</v>
      </c>
      <c r="N313" s="22" t="s">
        <v>2528</v>
      </c>
      <c r="O313" s="22" t="s">
        <v>625</v>
      </c>
      <c r="P313" s="22" t="s">
        <v>619</v>
      </c>
      <c r="Q313" s="22" t="s">
        <v>54</v>
      </c>
      <c r="R313" s="22" t="s">
        <v>603</v>
      </c>
    </row>
    <row r="314">
      <c r="A314" s="22" t="s">
        <v>598</v>
      </c>
      <c r="C314" s="1" t="s">
        <v>2346</v>
      </c>
      <c r="D314" s="56" t="s">
        <v>2531</v>
      </c>
      <c r="E314" s="56" t="s">
        <v>2526</v>
      </c>
      <c r="F314" s="56" t="s">
        <v>2532</v>
      </c>
      <c r="G314" s="56" t="s">
        <v>2527</v>
      </c>
      <c r="H314" s="1" t="s">
        <v>39</v>
      </c>
      <c r="I314" s="1" t="s">
        <v>603</v>
      </c>
      <c r="J314" s="1">
        <v>9.0</v>
      </c>
      <c r="K314" s="39"/>
      <c r="L314" s="1" t="s">
        <v>626</v>
      </c>
      <c r="M314" s="22" t="s">
        <v>627</v>
      </c>
      <c r="N314" s="22" t="s">
        <v>2528</v>
      </c>
      <c r="O314" s="22" t="s">
        <v>628</v>
      </c>
      <c r="P314" s="22" t="s">
        <v>619</v>
      </c>
      <c r="Q314" s="22" t="s">
        <v>54</v>
      </c>
      <c r="R314" s="22" t="s">
        <v>603</v>
      </c>
    </row>
    <row r="315">
      <c r="A315" s="22" t="s">
        <v>598</v>
      </c>
      <c r="C315" s="1" t="s">
        <v>2346</v>
      </c>
      <c r="D315" s="56" t="s">
        <v>2011</v>
      </c>
      <c r="E315" s="56" t="s">
        <v>633</v>
      </c>
      <c r="F315" s="56" t="s">
        <v>2533</v>
      </c>
      <c r="G315" s="56" t="s">
        <v>2534</v>
      </c>
      <c r="H315" s="1" t="s">
        <v>39</v>
      </c>
      <c r="I315" s="1" t="s">
        <v>603</v>
      </c>
      <c r="J315" s="1">
        <v>10.0</v>
      </c>
      <c r="K315" s="39"/>
      <c r="L315" s="1" t="s">
        <v>629</v>
      </c>
      <c r="M315" s="22" t="s">
        <v>627</v>
      </c>
      <c r="N315" s="22" t="s">
        <v>412</v>
      </c>
      <c r="O315" s="22" t="s">
        <v>2535</v>
      </c>
      <c r="P315" s="22" t="s">
        <v>309</v>
      </c>
      <c r="Q315" s="22" t="s">
        <v>39</v>
      </c>
      <c r="R315" s="22" t="s">
        <v>603</v>
      </c>
    </row>
    <row r="316">
      <c r="A316" s="22" t="s">
        <v>598</v>
      </c>
      <c r="C316" s="1" t="s">
        <v>2346</v>
      </c>
      <c r="D316" s="56" t="s">
        <v>2011</v>
      </c>
      <c r="E316" s="56" t="s">
        <v>633</v>
      </c>
      <c r="F316" s="56" t="s">
        <v>2536</v>
      </c>
      <c r="G316" s="56" t="s">
        <v>716</v>
      </c>
      <c r="H316" s="1" t="s">
        <v>39</v>
      </c>
      <c r="I316" s="1" t="s">
        <v>603</v>
      </c>
      <c r="J316" s="1">
        <v>11.0</v>
      </c>
      <c r="K316" s="39"/>
      <c r="L316" s="1" t="s">
        <v>2537</v>
      </c>
      <c r="M316" s="22" t="s">
        <v>627</v>
      </c>
      <c r="N316" s="22" t="s">
        <v>412</v>
      </c>
      <c r="O316" s="22" t="s">
        <v>2538</v>
      </c>
      <c r="P316" s="22" t="s">
        <v>309</v>
      </c>
      <c r="Q316" s="22" t="s">
        <v>39</v>
      </c>
      <c r="R316" s="22" t="s">
        <v>603</v>
      </c>
    </row>
    <row r="317">
      <c r="A317" s="22" t="s">
        <v>598</v>
      </c>
      <c r="C317" s="1" t="s">
        <v>2346</v>
      </c>
      <c r="D317" s="56" t="s">
        <v>2011</v>
      </c>
      <c r="E317" s="56" t="s">
        <v>633</v>
      </c>
      <c r="F317" s="56" t="s">
        <v>2539</v>
      </c>
      <c r="G317" s="56" t="s">
        <v>716</v>
      </c>
      <c r="H317" s="1" t="s">
        <v>39</v>
      </c>
      <c r="I317" s="1" t="s">
        <v>603</v>
      </c>
      <c r="J317" s="1">
        <v>12.0</v>
      </c>
      <c r="K317" s="39"/>
      <c r="L317" s="1">
        <v>12.0</v>
      </c>
      <c r="M317" s="56" t="s">
        <v>632</v>
      </c>
      <c r="N317" s="56" t="s">
        <v>633</v>
      </c>
      <c r="O317" s="56" t="s">
        <v>2539</v>
      </c>
      <c r="P317" s="56" t="s">
        <v>716</v>
      </c>
      <c r="Q317" s="1" t="s">
        <v>39</v>
      </c>
      <c r="R317" s="1" t="s">
        <v>603</v>
      </c>
      <c r="S317" s="1" t="s">
        <v>2540</v>
      </c>
    </row>
    <row r="318">
      <c r="A318" s="22" t="s">
        <v>598</v>
      </c>
      <c r="C318" s="1" t="s">
        <v>2346</v>
      </c>
      <c r="D318" s="56" t="s">
        <v>2011</v>
      </c>
      <c r="E318" s="56" t="s">
        <v>633</v>
      </c>
      <c r="F318" s="56" t="s">
        <v>2541</v>
      </c>
      <c r="G318" s="56" t="s">
        <v>716</v>
      </c>
      <c r="H318" s="1" t="s">
        <v>39</v>
      </c>
      <c r="I318" s="1" t="s">
        <v>603</v>
      </c>
      <c r="J318" s="1">
        <v>13.0</v>
      </c>
      <c r="K318" s="39"/>
      <c r="L318" s="1">
        <v>13.0</v>
      </c>
      <c r="M318" s="56" t="s">
        <v>632</v>
      </c>
      <c r="N318" s="56" t="s">
        <v>633</v>
      </c>
      <c r="O318" s="56" t="s">
        <v>2541</v>
      </c>
      <c r="P318" s="56" t="s">
        <v>716</v>
      </c>
      <c r="Q318" s="1" t="s">
        <v>39</v>
      </c>
      <c r="R318" s="1" t="s">
        <v>603</v>
      </c>
      <c r="S318" s="1" t="s">
        <v>2540</v>
      </c>
    </row>
    <row r="319">
      <c r="A319" s="22" t="s">
        <v>598</v>
      </c>
      <c r="C319" s="1" t="s">
        <v>2346</v>
      </c>
      <c r="D319" s="56" t="s">
        <v>2011</v>
      </c>
      <c r="E319" s="56" t="s">
        <v>633</v>
      </c>
      <c r="F319" s="56" t="s">
        <v>2542</v>
      </c>
      <c r="G319" s="56" t="s">
        <v>716</v>
      </c>
      <c r="H319" s="1" t="s">
        <v>39</v>
      </c>
      <c r="I319" s="1" t="s">
        <v>603</v>
      </c>
      <c r="J319" s="1">
        <v>14.0</v>
      </c>
      <c r="K319" s="39"/>
      <c r="L319" s="1">
        <v>14.0</v>
      </c>
      <c r="M319" s="56" t="s">
        <v>632</v>
      </c>
      <c r="N319" s="56" t="s">
        <v>633</v>
      </c>
      <c r="O319" s="56" t="s">
        <v>2542</v>
      </c>
      <c r="P319" s="56" t="s">
        <v>716</v>
      </c>
      <c r="Q319" s="1" t="s">
        <v>39</v>
      </c>
      <c r="R319" s="1" t="s">
        <v>603</v>
      </c>
      <c r="S319" s="1" t="s">
        <v>2540</v>
      </c>
    </row>
    <row r="320">
      <c r="A320" s="22" t="s">
        <v>598</v>
      </c>
      <c r="C320" s="1" t="s">
        <v>2250</v>
      </c>
      <c r="D320" s="22" t="s">
        <v>599</v>
      </c>
      <c r="E320" s="22" t="s">
        <v>600</v>
      </c>
      <c r="F320" s="22" t="s">
        <v>601</v>
      </c>
      <c r="G320" s="22" t="s">
        <v>602</v>
      </c>
      <c r="H320" s="22" t="s">
        <v>44</v>
      </c>
      <c r="I320" s="22" t="s">
        <v>603</v>
      </c>
      <c r="J320" s="1">
        <v>15.0</v>
      </c>
      <c r="K320" s="39"/>
      <c r="L320" s="45"/>
    </row>
    <row r="321">
      <c r="A321" s="22" t="s">
        <v>598</v>
      </c>
      <c r="C321" s="1" t="s">
        <v>2250</v>
      </c>
      <c r="D321" s="22" t="s">
        <v>605</v>
      </c>
      <c r="E321" s="22" t="s">
        <v>600</v>
      </c>
      <c r="F321" s="22" t="s">
        <v>606</v>
      </c>
      <c r="G321" s="22" t="s">
        <v>602</v>
      </c>
      <c r="H321" s="22" t="s">
        <v>44</v>
      </c>
      <c r="I321" s="22" t="s">
        <v>603</v>
      </c>
      <c r="J321" s="1">
        <v>16.0</v>
      </c>
      <c r="K321" s="39"/>
      <c r="L321" s="45"/>
    </row>
    <row r="322">
      <c r="A322" s="22" t="s">
        <v>598</v>
      </c>
      <c r="C322" s="1" t="s">
        <v>2250</v>
      </c>
      <c r="D322" s="22" t="s">
        <v>608</v>
      </c>
      <c r="E322" s="22" t="s">
        <v>600</v>
      </c>
      <c r="F322" s="22" t="s">
        <v>609</v>
      </c>
      <c r="G322" s="22" t="s">
        <v>602</v>
      </c>
      <c r="H322" s="22" t="s">
        <v>44</v>
      </c>
      <c r="I322" s="22" t="s">
        <v>603</v>
      </c>
      <c r="J322" s="1">
        <v>17.0</v>
      </c>
      <c r="K322" s="39"/>
      <c r="L322" s="45"/>
    </row>
    <row r="323">
      <c r="A323" s="22" t="s">
        <v>598</v>
      </c>
      <c r="C323" s="1" t="s">
        <v>2250</v>
      </c>
      <c r="D323" s="22" t="s">
        <v>611</v>
      </c>
      <c r="E323" s="22" t="s">
        <v>612</v>
      </c>
      <c r="F323" s="22" t="s">
        <v>613</v>
      </c>
      <c r="G323" s="22" t="s">
        <v>2521</v>
      </c>
      <c r="H323" s="22" t="s">
        <v>39</v>
      </c>
      <c r="I323" s="22" t="s">
        <v>603</v>
      </c>
      <c r="J323" s="1">
        <v>18.0</v>
      </c>
      <c r="K323" s="39"/>
      <c r="L323" s="45"/>
    </row>
    <row r="324">
      <c r="A324" s="22" t="s">
        <v>598</v>
      </c>
      <c r="C324" s="1" t="s">
        <v>2250</v>
      </c>
      <c r="D324" s="22" t="s">
        <v>611</v>
      </c>
      <c r="E324" s="22" t="s">
        <v>612</v>
      </c>
      <c r="F324" s="22" t="s">
        <v>615</v>
      </c>
      <c r="G324" s="22" t="s">
        <v>2521</v>
      </c>
      <c r="H324" s="22" t="s">
        <v>39</v>
      </c>
      <c r="I324" s="22" t="s">
        <v>603</v>
      </c>
      <c r="J324" s="1">
        <v>19.0</v>
      </c>
      <c r="K324" s="39"/>
      <c r="L324" s="45"/>
    </row>
    <row r="325">
      <c r="A325" s="22" t="s">
        <v>598</v>
      </c>
      <c r="C325" s="1" t="s">
        <v>2250</v>
      </c>
      <c r="D325" s="22" t="s">
        <v>617</v>
      </c>
      <c r="E325" s="22" t="s">
        <v>2528</v>
      </c>
      <c r="F325" s="22" t="s">
        <v>618</v>
      </c>
      <c r="G325" s="22" t="s">
        <v>619</v>
      </c>
      <c r="H325" s="22" t="s">
        <v>54</v>
      </c>
      <c r="I325" s="22" t="s">
        <v>603</v>
      </c>
      <c r="J325" s="1">
        <v>20.0</v>
      </c>
      <c r="K325" s="39"/>
      <c r="L325" s="45"/>
    </row>
    <row r="326">
      <c r="A326" s="22" t="s">
        <v>598</v>
      </c>
      <c r="C326" s="1" t="s">
        <v>2250</v>
      </c>
      <c r="D326" s="22" t="s">
        <v>621</v>
      </c>
      <c r="E326" s="22" t="s">
        <v>2528</v>
      </c>
      <c r="F326" s="22" t="s">
        <v>2529</v>
      </c>
      <c r="G326" s="22" t="s">
        <v>619</v>
      </c>
      <c r="H326" s="22" t="s">
        <v>54</v>
      </c>
      <c r="I326" s="22" t="s">
        <v>603</v>
      </c>
      <c r="J326" s="1">
        <v>21.0</v>
      </c>
      <c r="K326" s="39"/>
      <c r="L326" s="45"/>
    </row>
    <row r="327">
      <c r="A327" s="22" t="s">
        <v>598</v>
      </c>
      <c r="C327" s="1" t="s">
        <v>2250</v>
      </c>
      <c r="D327" s="22" t="s">
        <v>624</v>
      </c>
      <c r="E327" s="22" t="s">
        <v>2528</v>
      </c>
      <c r="F327" s="22" t="s">
        <v>625</v>
      </c>
      <c r="G327" s="22" t="s">
        <v>619</v>
      </c>
      <c r="H327" s="22" t="s">
        <v>54</v>
      </c>
      <c r="I327" s="22" t="s">
        <v>603</v>
      </c>
      <c r="J327" s="1">
        <v>22.0</v>
      </c>
      <c r="K327" s="39"/>
      <c r="L327" s="45"/>
    </row>
    <row r="328">
      <c r="A328" s="22" t="s">
        <v>598</v>
      </c>
      <c r="C328" s="1" t="s">
        <v>2250</v>
      </c>
      <c r="D328" s="22" t="s">
        <v>627</v>
      </c>
      <c r="E328" s="22" t="s">
        <v>2528</v>
      </c>
      <c r="F328" s="22" t="s">
        <v>628</v>
      </c>
      <c r="G328" s="22" t="s">
        <v>619</v>
      </c>
      <c r="H328" s="22" t="s">
        <v>54</v>
      </c>
      <c r="I328" s="22" t="s">
        <v>603</v>
      </c>
      <c r="J328" s="1">
        <v>23.0</v>
      </c>
      <c r="K328" s="39"/>
      <c r="L328" s="45"/>
    </row>
    <row r="329">
      <c r="A329" s="22" t="s">
        <v>598</v>
      </c>
      <c r="C329" s="1" t="s">
        <v>2250</v>
      </c>
      <c r="D329" s="22" t="s">
        <v>627</v>
      </c>
      <c r="E329" s="22" t="s">
        <v>412</v>
      </c>
      <c r="F329" s="22" t="s">
        <v>2535</v>
      </c>
      <c r="G329" s="22" t="s">
        <v>309</v>
      </c>
      <c r="H329" s="22" t="s">
        <v>39</v>
      </c>
      <c r="I329" s="22" t="s">
        <v>603</v>
      </c>
      <c r="J329" s="1">
        <v>24.0</v>
      </c>
      <c r="K329" s="39"/>
      <c r="L329" s="45"/>
    </row>
    <row r="330">
      <c r="A330" s="22" t="s">
        <v>598</v>
      </c>
      <c r="C330" s="1" t="s">
        <v>2250</v>
      </c>
      <c r="D330" s="22" t="s">
        <v>627</v>
      </c>
      <c r="E330" s="22" t="s">
        <v>412</v>
      </c>
      <c r="F330" s="22" t="s">
        <v>2538</v>
      </c>
      <c r="G330" s="22" t="s">
        <v>309</v>
      </c>
      <c r="H330" s="22" t="s">
        <v>39</v>
      </c>
      <c r="I330" s="22" t="s">
        <v>603</v>
      </c>
      <c r="J330" s="1">
        <v>25.0</v>
      </c>
      <c r="K330" s="39"/>
      <c r="L330" s="45"/>
    </row>
    <row r="331">
      <c r="A331" s="62"/>
      <c r="B331" s="62"/>
      <c r="C331" s="62"/>
      <c r="D331" s="62"/>
      <c r="E331" s="62"/>
      <c r="F331" s="62"/>
      <c r="G331" s="62"/>
      <c r="H331" s="62"/>
      <c r="I331" s="62"/>
      <c r="J331" s="62"/>
      <c r="K331" s="62"/>
      <c r="L331" s="62"/>
      <c r="M331" s="62"/>
      <c r="N331" s="62"/>
      <c r="O331" s="62"/>
      <c r="P331" s="62"/>
      <c r="Q331" s="62"/>
      <c r="R331" s="62"/>
      <c r="S331" s="62"/>
      <c r="T331" s="62"/>
      <c r="U331" s="62"/>
      <c r="V331" s="62"/>
      <c r="W331" s="62"/>
      <c r="X331" s="62"/>
      <c r="Y331" s="62"/>
      <c r="Z331" s="62"/>
    </row>
    <row r="332">
      <c r="A332" s="26" t="s">
        <v>636</v>
      </c>
      <c r="C332" s="1" t="s">
        <v>2236</v>
      </c>
      <c r="D332" s="1" t="s">
        <v>33</v>
      </c>
      <c r="E332" s="1" t="s">
        <v>33</v>
      </c>
      <c r="F332" s="1" t="s">
        <v>33</v>
      </c>
      <c r="G332" s="1" t="s">
        <v>33</v>
      </c>
      <c r="H332" s="1" t="s">
        <v>33</v>
      </c>
      <c r="I332" s="1" t="s">
        <v>33</v>
      </c>
      <c r="K332" s="39"/>
      <c r="L332" s="1">
        <v>1.0</v>
      </c>
      <c r="M332" s="22" t="s">
        <v>637</v>
      </c>
      <c r="N332" s="22" t="s">
        <v>33</v>
      </c>
      <c r="O332" s="22" t="s">
        <v>638</v>
      </c>
      <c r="P332" s="22" t="s">
        <v>639</v>
      </c>
      <c r="Q332" s="22" t="s">
        <v>91</v>
      </c>
      <c r="R332" s="22" t="s">
        <v>640</v>
      </c>
    </row>
    <row r="333">
      <c r="A333" s="26" t="s">
        <v>636</v>
      </c>
      <c r="C333" s="1" t="s">
        <v>2250</v>
      </c>
      <c r="D333" s="22" t="s">
        <v>637</v>
      </c>
      <c r="E333" s="22" t="s">
        <v>33</v>
      </c>
      <c r="F333" s="22" t="s">
        <v>638</v>
      </c>
      <c r="G333" s="22" t="s">
        <v>639</v>
      </c>
      <c r="H333" s="22" t="s">
        <v>91</v>
      </c>
      <c r="I333" s="22" t="s">
        <v>640</v>
      </c>
      <c r="J333" s="1">
        <v>1.0</v>
      </c>
      <c r="K333" s="39"/>
      <c r="L333" s="1">
        <v>2.0</v>
      </c>
      <c r="M333" s="22" t="s">
        <v>641</v>
      </c>
      <c r="N333" s="22" t="s">
        <v>33</v>
      </c>
      <c r="O333" s="22" t="s">
        <v>642</v>
      </c>
      <c r="P333" s="22" t="s">
        <v>639</v>
      </c>
      <c r="Q333" s="22" t="s">
        <v>91</v>
      </c>
      <c r="R333" s="22" t="s">
        <v>640</v>
      </c>
    </row>
    <row r="334">
      <c r="A334" s="26" t="s">
        <v>636</v>
      </c>
      <c r="C334" s="1" t="s">
        <v>2250</v>
      </c>
      <c r="D334" s="22" t="s">
        <v>641</v>
      </c>
      <c r="E334" s="22" t="s">
        <v>33</v>
      </c>
      <c r="F334" s="22" t="s">
        <v>642</v>
      </c>
      <c r="G334" s="22" t="s">
        <v>639</v>
      </c>
      <c r="H334" s="22" t="s">
        <v>91</v>
      </c>
      <c r="I334" s="22" t="s">
        <v>640</v>
      </c>
      <c r="J334" s="1">
        <v>2.0</v>
      </c>
      <c r="K334" s="39"/>
      <c r="L334" s="1">
        <v>3.0</v>
      </c>
      <c r="M334" s="22" t="s">
        <v>643</v>
      </c>
      <c r="N334" s="22" t="s">
        <v>644</v>
      </c>
      <c r="O334" s="22" t="s">
        <v>645</v>
      </c>
      <c r="P334" s="22" t="s">
        <v>646</v>
      </c>
      <c r="Q334" s="22" t="s">
        <v>14</v>
      </c>
      <c r="R334" s="22" t="s">
        <v>640</v>
      </c>
    </row>
    <row r="335">
      <c r="A335" s="26" t="s">
        <v>636</v>
      </c>
      <c r="C335" s="1" t="s">
        <v>2250</v>
      </c>
      <c r="D335" s="22" t="s">
        <v>643</v>
      </c>
      <c r="E335" s="22" t="s">
        <v>644</v>
      </c>
      <c r="F335" s="22" t="s">
        <v>645</v>
      </c>
      <c r="G335" s="22" t="s">
        <v>646</v>
      </c>
      <c r="H335" s="22" t="s">
        <v>14</v>
      </c>
      <c r="I335" s="22" t="s">
        <v>640</v>
      </c>
      <c r="J335" s="1">
        <v>3.0</v>
      </c>
      <c r="K335" s="39"/>
      <c r="L335" s="1">
        <v>4.0</v>
      </c>
      <c r="M335" s="22" t="s">
        <v>643</v>
      </c>
      <c r="N335" s="22" t="s">
        <v>647</v>
      </c>
      <c r="O335" s="22" t="s">
        <v>648</v>
      </c>
      <c r="P335" s="22" t="s">
        <v>2543</v>
      </c>
      <c r="Q335" s="22" t="s">
        <v>14</v>
      </c>
      <c r="R335" s="22" t="s">
        <v>640</v>
      </c>
    </row>
    <row r="336">
      <c r="A336" s="26" t="s">
        <v>636</v>
      </c>
      <c r="C336" s="1" t="s">
        <v>2250</v>
      </c>
      <c r="D336" s="22" t="s">
        <v>643</v>
      </c>
      <c r="E336" s="22" t="s">
        <v>647</v>
      </c>
      <c r="F336" s="22" t="s">
        <v>648</v>
      </c>
      <c r="G336" s="22" t="s">
        <v>2543</v>
      </c>
      <c r="H336" s="22" t="s">
        <v>14</v>
      </c>
      <c r="I336" s="22" t="s">
        <v>640</v>
      </c>
      <c r="J336" s="1">
        <v>4.0</v>
      </c>
      <c r="K336" s="39"/>
      <c r="L336" s="1">
        <v>5.0</v>
      </c>
      <c r="M336" s="22" t="s">
        <v>643</v>
      </c>
      <c r="N336" s="22" t="s">
        <v>650</v>
      </c>
      <c r="O336" s="22" t="s">
        <v>651</v>
      </c>
      <c r="P336" s="22" t="s">
        <v>33</v>
      </c>
      <c r="Q336" s="22" t="s">
        <v>14</v>
      </c>
      <c r="R336" s="22" t="s">
        <v>640</v>
      </c>
    </row>
    <row r="337">
      <c r="A337" s="26" t="s">
        <v>636</v>
      </c>
      <c r="C337" s="1" t="s">
        <v>2250</v>
      </c>
      <c r="D337" s="22" t="s">
        <v>643</v>
      </c>
      <c r="E337" s="22" t="s">
        <v>650</v>
      </c>
      <c r="F337" s="22" t="s">
        <v>651</v>
      </c>
      <c r="G337" s="22" t="s">
        <v>33</v>
      </c>
      <c r="H337" s="22" t="s">
        <v>14</v>
      </c>
      <c r="I337" s="22" t="s">
        <v>640</v>
      </c>
      <c r="J337" s="1">
        <v>5.0</v>
      </c>
      <c r="K337" s="39"/>
      <c r="L337" s="1">
        <v>6.0</v>
      </c>
      <c r="M337" s="22" t="s">
        <v>641</v>
      </c>
      <c r="N337" s="22" t="s">
        <v>652</v>
      </c>
      <c r="O337" s="22" t="s">
        <v>653</v>
      </c>
      <c r="P337" s="22" t="s">
        <v>654</v>
      </c>
      <c r="Q337" s="22" t="s">
        <v>39</v>
      </c>
      <c r="R337" s="22" t="s">
        <v>640</v>
      </c>
    </row>
    <row r="338">
      <c r="A338" s="26" t="s">
        <v>636</v>
      </c>
      <c r="C338" s="1" t="s">
        <v>2250</v>
      </c>
      <c r="D338" s="22" t="s">
        <v>641</v>
      </c>
      <c r="E338" s="22" t="s">
        <v>652</v>
      </c>
      <c r="F338" s="22" t="s">
        <v>653</v>
      </c>
      <c r="G338" s="22" t="s">
        <v>654</v>
      </c>
      <c r="H338" s="22" t="s">
        <v>39</v>
      </c>
      <c r="I338" s="22" t="s">
        <v>640</v>
      </c>
      <c r="J338" s="1">
        <v>6.0</v>
      </c>
      <c r="K338" s="39"/>
      <c r="L338" s="1">
        <v>7.0</v>
      </c>
      <c r="M338" s="22" t="s">
        <v>641</v>
      </c>
      <c r="N338" s="22" t="s">
        <v>652</v>
      </c>
      <c r="O338" s="22" t="s">
        <v>655</v>
      </c>
      <c r="P338" s="22" t="s">
        <v>654</v>
      </c>
      <c r="Q338" s="22" t="s">
        <v>39</v>
      </c>
      <c r="R338" s="22" t="s">
        <v>640</v>
      </c>
    </row>
    <row r="339">
      <c r="A339" s="26" t="s">
        <v>636</v>
      </c>
      <c r="C339" s="1" t="s">
        <v>2250</v>
      </c>
      <c r="D339" s="22" t="s">
        <v>641</v>
      </c>
      <c r="E339" s="22" t="s">
        <v>652</v>
      </c>
      <c r="F339" s="22" t="s">
        <v>655</v>
      </c>
      <c r="G339" s="22" t="s">
        <v>654</v>
      </c>
      <c r="H339" s="22" t="s">
        <v>39</v>
      </c>
      <c r="I339" s="22" t="s">
        <v>640</v>
      </c>
      <c r="J339" s="1">
        <v>7.0</v>
      </c>
      <c r="K339" s="39"/>
      <c r="L339" s="1">
        <v>8.0</v>
      </c>
      <c r="M339" s="22" t="s">
        <v>641</v>
      </c>
      <c r="N339" s="22" t="s">
        <v>656</v>
      </c>
      <c r="O339" s="22" t="s">
        <v>657</v>
      </c>
      <c r="P339" s="22" t="s">
        <v>654</v>
      </c>
      <c r="Q339" s="22" t="s">
        <v>54</v>
      </c>
      <c r="R339" s="22" t="s">
        <v>640</v>
      </c>
    </row>
    <row r="340">
      <c r="A340" s="26" t="s">
        <v>636</v>
      </c>
      <c r="C340" s="1" t="s">
        <v>2250</v>
      </c>
      <c r="D340" s="22" t="s">
        <v>641</v>
      </c>
      <c r="E340" s="22" t="s">
        <v>656</v>
      </c>
      <c r="F340" s="22" t="s">
        <v>657</v>
      </c>
      <c r="G340" s="22" t="s">
        <v>654</v>
      </c>
      <c r="H340" s="22" t="s">
        <v>54</v>
      </c>
      <c r="I340" s="22" t="s">
        <v>640</v>
      </c>
      <c r="J340" s="1">
        <v>8.0</v>
      </c>
      <c r="K340" s="39"/>
      <c r="L340" s="1">
        <v>9.0</v>
      </c>
      <c r="M340" s="22" t="s">
        <v>641</v>
      </c>
      <c r="N340" s="22" t="s">
        <v>205</v>
      </c>
      <c r="O340" s="22" t="s">
        <v>2544</v>
      </c>
      <c r="P340" s="22" t="s">
        <v>33</v>
      </c>
      <c r="Q340" s="22" t="s">
        <v>54</v>
      </c>
      <c r="R340" s="22" t="s">
        <v>640</v>
      </c>
    </row>
    <row r="341">
      <c r="A341" s="26" t="s">
        <v>636</v>
      </c>
      <c r="C341" s="1" t="s">
        <v>2250</v>
      </c>
      <c r="D341" s="22" t="s">
        <v>641</v>
      </c>
      <c r="E341" s="22" t="s">
        <v>205</v>
      </c>
      <c r="F341" s="22" t="s">
        <v>2544</v>
      </c>
      <c r="G341" s="22" t="s">
        <v>33</v>
      </c>
      <c r="H341" s="22" t="s">
        <v>54</v>
      </c>
      <c r="I341" s="22" t="s">
        <v>640</v>
      </c>
      <c r="J341" s="1">
        <v>9.0</v>
      </c>
      <c r="K341" s="39"/>
      <c r="L341" s="1">
        <v>10.0</v>
      </c>
      <c r="M341" s="22" t="s">
        <v>658</v>
      </c>
      <c r="N341" s="22" t="s">
        <v>659</v>
      </c>
      <c r="O341" s="22" t="s">
        <v>660</v>
      </c>
      <c r="P341" s="22" t="s">
        <v>661</v>
      </c>
      <c r="Q341" s="22" t="s">
        <v>14</v>
      </c>
      <c r="R341" s="22" t="s">
        <v>640</v>
      </c>
    </row>
    <row r="342">
      <c r="A342" s="26" t="s">
        <v>636</v>
      </c>
      <c r="C342" s="1" t="s">
        <v>2250</v>
      </c>
      <c r="D342" s="22" t="s">
        <v>658</v>
      </c>
      <c r="E342" s="22" t="s">
        <v>659</v>
      </c>
      <c r="F342" s="22" t="s">
        <v>660</v>
      </c>
      <c r="G342" s="22" t="s">
        <v>661</v>
      </c>
      <c r="H342" s="22" t="s">
        <v>14</v>
      </c>
      <c r="I342" s="22" t="s">
        <v>640</v>
      </c>
      <c r="J342" s="1">
        <v>10.0</v>
      </c>
      <c r="K342" s="39"/>
      <c r="L342" s="1">
        <v>11.0</v>
      </c>
      <c r="M342" s="22" t="s">
        <v>658</v>
      </c>
      <c r="N342" s="22" t="s">
        <v>662</v>
      </c>
      <c r="O342" s="22" t="s">
        <v>663</v>
      </c>
      <c r="P342" s="22" t="s">
        <v>664</v>
      </c>
      <c r="Q342" s="22" t="s">
        <v>39</v>
      </c>
      <c r="R342" s="22" t="s">
        <v>640</v>
      </c>
    </row>
    <row r="343">
      <c r="A343" s="26" t="s">
        <v>636</v>
      </c>
      <c r="C343" s="1" t="s">
        <v>2250</v>
      </c>
      <c r="D343" s="22" t="s">
        <v>658</v>
      </c>
      <c r="E343" s="22" t="s">
        <v>662</v>
      </c>
      <c r="F343" s="22" t="s">
        <v>663</v>
      </c>
      <c r="G343" s="22" t="s">
        <v>664</v>
      </c>
      <c r="H343" s="22" t="s">
        <v>39</v>
      </c>
      <c r="I343" s="22" t="s">
        <v>640</v>
      </c>
      <c r="J343" s="1">
        <v>11.0</v>
      </c>
      <c r="K343" s="39"/>
      <c r="L343" s="45"/>
    </row>
    <row r="344">
      <c r="A344" s="62"/>
      <c r="B344" s="62"/>
      <c r="C344" s="62"/>
      <c r="D344" s="62"/>
      <c r="E344" s="62"/>
      <c r="F344" s="62"/>
      <c r="G344" s="62"/>
      <c r="H344" s="62"/>
      <c r="I344" s="62"/>
      <c r="J344" s="62"/>
      <c r="K344" s="62"/>
      <c r="L344" s="62"/>
      <c r="M344" s="62"/>
      <c r="N344" s="62"/>
      <c r="O344" s="62"/>
      <c r="P344" s="62"/>
      <c r="Q344" s="62"/>
      <c r="R344" s="62"/>
      <c r="S344" s="62"/>
      <c r="T344" s="62"/>
      <c r="U344" s="62"/>
      <c r="V344" s="62"/>
      <c r="W344" s="62"/>
      <c r="X344" s="62"/>
      <c r="Y344" s="62"/>
      <c r="Z344" s="62"/>
    </row>
    <row r="345">
      <c r="A345" s="26" t="s">
        <v>665</v>
      </c>
      <c r="C345" s="1" t="s">
        <v>2303</v>
      </c>
      <c r="D345" s="1" t="s">
        <v>2545</v>
      </c>
      <c r="F345" s="1" t="s">
        <v>2546</v>
      </c>
      <c r="G345" s="1" t="s">
        <v>2547</v>
      </c>
      <c r="H345" s="1" t="s">
        <v>44</v>
      </c>
      <c r="I345" s="1" t="s">
        <v>669</v>
      </c>
      <c r="J345" s="1">
        <v>1.0</v>
      </c>
      <c r="K345" s="39"/>
      <c r="L345" s="2">
        <v>6.0</v>
      </c>
      <c r="M345" s="22" t="s">
        <v>666</v>
      </c>
      <c r="N345" s="22" t="s">
        <v>33</v>
      </c>
      <c r="O345" s="22" t="s">
        <v>667</v>
      </c>
      <c r="P345" s="22" t="s">
        <v>668</v>
      </c>
      <c r="Q345" s="22" t="s">
        <v>44</v>
      </c>
      <c r="R345" s="22" t="s">
        <v>669</v>
      </c>
    </row>
    <row r="346">
      <c r="A346" s="26" t="s">
        <v>665</v>
      </c>
      <c r="C346" s="1" t="s">
        <v>2303</v>
      </c>
      <c r="D346" s="1" t="s">
        <v>670</v>
      </c>
      <c r="F346" s="1" t="s">
        <v>671</v>
      </c>
      <c r="G346" s="1" t="s">
        <v>2548</v>
      </c>
      <c r="H346" s="1" t="s">
        <v>14</v>
      </c>
      <c r="I346" s="1" t="s">
        <v>669</v>
      </c>
      <c r="J346" s="1">
        <v>2.0</v>
      </c>
      <c r="K346" s="39"/>
      <c r="L346" s="2">
        <v>2.0</v>
      </c>
      <c r="M346" s="1" t="s">
        <v>670</v>
      </c>
      <c r="O346" s="1" t="s">
        <v>671</v>
      </c>
      <c r="P346" s="1" t="s">
        <v>2548</v>
      </c>
      <c r="Q346" s="1" t="s">
        <v>14</v>
      </c>
      <c r="R346" s="1" t="s">
        <v>669</v>
      </c>
    </row>
    <row r="347">
      <c r="A347" s="26" t="s">
        <v>665</v>
      </c>
      <c r="C347" s="1" t="s">
        <v>2303</v>
      </c>
      <c r="D347" s="1" t="s">
        <v>2549</v>
      </c>
      <c r="F347" s="1" t="s">
        <v>678</v>
      </c>
      <c r="H347" s="1" t="s">
        <v>39</v>
      </c>
      <c r="I347" s="1" t="s">
        <v>669</v>
      </c>
      <c r="J347" s="1">
        <v>3.0</v>
      </c>
      <c r="K347" s="39"/>
      <c r="L347" s="2" t="s">
        <v>673</v>
      </c>
      <c r="M347" s="22" t="s">
        <v>674</v>
      </c>
      <c r="N347" s="22" t="s">
        <v>675</v>
      </c>
      <c r="O347" s="22" t="s">
        <v>2550</v>
      </c>
      <c r="P347" s="22" t="s">
        <v>309</v>
      </c>
      <c r="Q347" s="22" t="s">
        <v>39</v>
      </c>
      <c r="R347" s="22" t="s">
        <v>669</v>
      </c>
    </row>
    <row r="348">
      <c r="A348" s="26" t="s">
        <v>665</v>
      </c>
      <c r="C348" s="1" t="s">
        <v>2303</v>
      </c>
      <c r="D348" s="1" t="s">
        <v>2549</v>
      </c>
      <c r="F348" s="1" t="s">
        <v>2551</v>
      </c>
      <c r="H348" s="1" t="s">
        <v>39</v>
      </c>
      <c r="I348" s="1" t="s">
        <v>669</v>
      </c>
      <c r="J348" s="1">
        <v>4.0</v>
      </c>
      <c r="K348" s="39"/>
      <c r="L348" s="2" t="s">
        <v>677</v>
      </c>
      <c r="M348" s="22" t="s">
        <v>674</v>
      </c>
      <c r="N348" s="22" t="s">
        <v>33</v>
      </c>
      <c r="O348" s="55" t="s">
        <v>678</v>
      </c>
      <c r="P348" s="22" t="s">
        <v>2552</v>
      </c>
      <c r="Q348" s="22" t="s">
        <v>91</v>
      </c>
      <c r="R348" s="22" t="s">
        <v>669</v>
      </c>
    </row>
    <row r="349">
      <c r="A349" s="26" t="s">
        <v>665</v>
      </c>
      <c r="C349" s="1" t="s">
        <v>2303</v>
      </c>
      <c r="D349" s="1" t="s">
        <v>681</v>
      </c>
      <c r="F349" s="1" t="s">
        <v>2553</v>
      </c>
      <c r="H349" s="1" t="s">
        <v>39</v>
      </c>
      <c r="I349" s="1" t="s">
        <v>669</v>
      </c>
      <c r="J349" s="1">
        <v>5.0</v>
      </c>
      <c r="K349" s="39"/>
      <c r="L349" s="2" t="s">
        <v>680</v>
      </c>
      <c r="M349" s="1" t="s">
        <v>681</v>
      </c>
      <c r="N349" s="22" t="s">
        <v>205</v>
      </c>
      <c r="O349" s="22" t="s">
        <v>684</v>
      </c>
      <c r="P349" s="22" t="s">
        <v>685</v>
      </c>
      <c r="Q349" s="22" t="s">
        <v>54</v>
      </c>
      <c r="R349" s="22" t="s">
        <v>669</v>
      </c>
    </row>
    <row r="350">
      <c r="A350" s="26" t="s">
        <v>665</v>
      </c>
      <c r="C350" s="1" t="s">
        <v>2250</v>
      </c>
      <c r="D350" s="22" t="s">
        <v>666</v>
      </c>
      <c r="E350" s="22" t="s">
        <v>33</v>
      </c>
      <c r="F350" s="22" t="s">
        <v>667</v>
      </c>
      <c r="G350" s="22" t="s">
        <v>668</v>
      </c>
      <c r="H350" s="22" t="s">
        <v>44</v>
      </c>
      <c r="I350" s="22" t="s">
        <v>669</v>
      </c>
      <c r="J350" s="1">
        <v>6.0</v>
      </c>
      <c r="K350" s="39"/>
    </row>
    <row r="351">
      <c r="A351" s="26" t="s">
        <v>665</v>
      </c>
      <c r="C351" s="1" t="s">
        <v>2250</v>
      </c>
      <c r="D351" s="22" t="s">
        <v>674</v>
      </c>
      <c r="E351" s="22" t="s">
        <v>675</v>
      </c>
      <c r="F351" s="22" t="s">
        <v>2550</v>
      </c>
      <c r="G351" s="22" t="s">
        <v>309</v>
      </c>
      <c r="H351" s="22" t="s">
        <v>39</v>
      </c>
      <c r="I351" s="22" t="s">
        <v>669</v>
      </c>
      <c r="J351" s="1">
        <v>7.0</v>
      </c>
      <c r="K351" s="39"/>
    </row>
    <row r="352">
      <c r="A352" s="26" t="s">
        <v>665</v>
      </c>
      <c r="C352" s="1" t="s">
        <v>2250</v>
      </c>
      <c r="D352" s="22" t="s">
        <v>674</v>
      </c>
      <c r="E352" s="22" t="s">
        <v>33</v>
      </c>
      <c r="F352" s="22" t="s">
        <v>2554</v>
      </c>
      <c r="G352" s="22" t="s">
        <v>2552</v>
      </c>
      <c r="H352" s="22" t="s">
        <v>91</v>
      </c>
      <c r="I352" s="22" t="s">
        <v>669</v>
      </c>
      <c r="J352" s="1">
        <v>8.0</v>
      </c>
      <c r="K352" s="39"/>
    </row>
    <row r="353">
      <c r="A353" s="26" t="s">
        <v>665</v>
      </c>
      <c r="C353" s="1" t="s">
        <v>2250</v>
      </c>
      <c r="D353" s="22" t="s">
        <v>666</v>
      </c>
      <c r="E353" s="22" t="s">
        <v>205</v>
      </c>
      <c r="F353" s="22" t="s">
        <v>684</v>
      </c>
      <c r="G353" s="22" t="s">
        <v>685</v>
      </c>
      <c r="H353" s="22" t="s">
        <v>54</v>
      </c>
      <c r="I353" s="22" t="s">
        <v>669</v>
      </c>
      <c r="J353" s="1">
        <v>9.0</v>
      </c>
      <c r="K353" s="39"/>
      <c r="L353" s="45"/>
    </row>
    <row r="354">
      <c r="A354" s="62"/>
      <c r="B354" s="62"/>
      <c r="C354" s="62"/>
      <c r="D354" s="62"/>
      <c r="E354" s="62"/>
      <c r="F354" s="62"/>
      <c r="G354" s="62"/>
      <c r="H354" s="62"/>
      <c r="I354" s="62"/>
      <c r="J354" s="62"/>
      <c r="K354" s="62"/>
      <c r="L354" s="62"/>
      <c r="M354" s="62"/>
      <c r="N354" s="62"/>
      <c r="O354" s="62"/>
      <c r="P354" s="62"/>
      <c r="Q354" s="62"/>
      <c r="R354" s="62"/>
      <c r="S354" s="62"/>
      <c r="T354" s="62"/>
      <c r="U354" s="62"/>
      <c r="V354" s="62"/>
      <c r="W354" s="62"/>
      <c r="X354" s="62"/>
      <c r="Y354" s="62"/>
      <c r="Z354" s="62"/>
    </row>
    <row r="355">
      <c r="A355" s="26" t="s">
        <v>686</v>
      </c>
      <c r="C355" s="1" t="s">
        <v>2346</v>
      </c>
      <c r="D355" s="1" t="s">
        <v>2555</v>
      </c>
      <c r="E355" s="1" t="s">
        <v>688</v>
      </c>
      <c r="F355" s="1" t="s">
        <v>689</v>
      </c>
      <c r="G355" s="1" t="s">
        <v>690</v>
      </c>
      <c r="H355" s="1" t="s">
        <v>39</v>
      </c>
      <c r="I355" s="1" t="s">
        <v>691</v>
      </c>
      <c r="J355" s="1">
        <v>1.0</v>
      </c>
      <c r="K355" s="39"/>
      <c r="L355" s="2">
        <v>1.0</v>
      </c>
      <c r="M355" s="1" t="s">
        <v>687</v>
      </c>
      <c r="N355" s="1" t="s">
        <v>688</v>
      </c>
      <c r="O355" s="1" t="s">
        <v>689</v>
      </c>
      <c r="P355" s="1" t="s">
        <v>690</v>
      </c>
      <c r="Q355" s="1" t="s">
        <v>39</v>
      </c>
      <c r="R355" s="1" t="s">
        <v>691</v>
      </c>
    </row>
    <row r="356">
      <c r="A356" s="26" t="s">
        <v>686</v>
      </c>
      <c r="C356" s="1" t="s">
        <v>2346</v>
      </c>
      <c r="D356" s="1" t="s">
        <v>2556</v>
      </c>
      <c r="E356" s="1" t="s">
        <v>688</v>
      </c>
      <c r="F356" s="1" t="s">
        <v>693</v>
      </c>
      <c r="G356" s="1" t="s">
        <v>694</v>
      </c>
      <c r="H356" s="1" t="s">
        <v>39</v>
      </c>
      <c r="I356" s="1" t="s">
        <v>691</v>
      </c>
      <c r="J356" s="1">
        <v>2.0</v>
      </c>
      <c r="K356" s="39"/>
      <c r="L356" s="2">
        <v>2.0</v>
      </c>
      <c r="M356" s="1" t="s">
        <v>692</v>
      </c>
      <c r="N356" s="1" t="s">
        <v>688</v>
      </c>
      <c r="O356" s="1" t="s">
        <v>693</v>
      </c>
      <c r="P356" s="1" t="s">
        <v>694</v>
      </c>
      <c r="Q356" s="1" t="s">
        <v>39</v>
      </c>
      <c r="R356" s="1" t="s">
        <v>691</v>
      </c>
    </row>
    <row r="357">
      <c r="A357" s="26" t="s">
        <v>686</v>
      </c>
      <c r="C357" s="1" t="s">
        <v>2346</v>
      </c>
      <c r="D357" s="1" t="s">
        <v>2557</v>
      </c>
      <c r="F357" s="1" t="s">
        <v>696</v>
      </c>
      <c r="H357" s="1" t="s">
        <v>44</v>
      </c>
      <c r="I357" s="1" t="s">
        <v>691</v>
      </c>
      <c r="J357" s="1">
        <v>3.0</v>
      </c>
      <c r="K357" s="39"/>
      <c r="L357" s="2">
        <v>3.0</v>
      </c>
      <c r="M357" s="1" t="s">
        <v>695</v>
      </c>
      <c r="O357" s="1" t="s">
        <v>696</v>
      </c>
      <c r="Q357" s="1" t="s">
        <v>44</v>
      </c>
      <c r="R357" s="1" t="s">
        <v>691</v>
      </c>
    </row>
    <row r="358">
      <c r="A358" s="26" t="s">
        <v>686</v>
      </c>
      <c r="C358" s="1" t="s">
        <v>2346</v>
      </c>
      <c r="D358" s="1" t="s">
        <v>2558</v>
      </c>
      <c r="E358" s="1" t="s">
        <v>698</v>
      </c>
      <c r="F358" s="1" t="s">
        <v>699</v>
      </c>
      <c r="G358" s="1" t="s">
        <v>700</v>
      </c>
      <c r="H358" s="1" t="s">
        <v>54</v>
      </c>
      <c r="I358" s="1" t="s">
        <v>691</v>
      </c>
      <c r="J358" s="1">
        <v>4.0</v>
      </c>
      <c r="K358" s="39"/>
      <c r="L358" s="1" t="s">
        <v>338</v>
      </c>
      <c r="M358" s="1" t="s">
        <v>697</v>
      </c>
      <c r="N358" s="1" t="s">
        <v>698</v>
      </c>
      <c r="O358" s="1" t="s">
        <v>699</v>
      </c>
      <c r="P358" s="1" t="s">
        <v>700</v>
      </c>
      <c r="Q358" s="1" t="s">
        <v>54</v>
      </c>
      <c r="R358" s="1" t="s">
        <v>691</v>
      </c>
    </row>
    <row r="359">
      <c r="A359" s="26" t="s">
        <v>686</v>
      </c>
      <c r="C359" s="1" t="s">
        <v>2346</v>
      </c>
      <c r="D359" s="1" t="s">
        <v>2558</v>
      </c>
      <c r="E359" s="1" t="s">
        <v>698</v>
      </c>
      <c r="F359" s="1" t="s">
        <v>702</v>
      </c>
      <c r="G359" s="1" t="s">
        <v>700</v>
      </c>
      <c r="H359" s="1" t="s">
        <v>54</v>
      </c>
      <c r="I359" s="1" t="s">
        <v>691</v>
      </c>
      <c r="J359" s="1">
        <v>5.0</v>
      </c>
      <c r="K359" s="39"/>
      <c r="L359" s="1" t="s">
        <v>701</v>
      </c>
      <c r="M359" s="1" t="s">
        <v>697</v>
      </c>
      <c r="N359" s="1" t="s">
        <v>698</v>
      </c>
      <c r="O359" s="1" t="s">
        <v>702</v>
      </c>
      <c r="P359" s="1" t="s">
        <v>700</v>
      </c>
      <c r="Q359" s="1" t="s">
        <v>54</v>
      </c>
      <c r="R359" s="1" t="s">
        <v>691</v>
      </c>
    </row>
    <row r="360">
      <c r="A360" s="26" t="s">
        <v>686</v>
      </c>
      <c r="C360" s="1" t="s">
        <v>2346</v>
      </c>
      <c r="D360" s="1" t="s">
        <v>2558</v>
      </c>
      <c r="E360" s="1" t="s">
        <v>698</v>
      </c>
      <c r="F360" s="1" t="s">
        <v>704</v>
      </c>
      <c r="G360" s="1" t="s">
        <v>700</v>
      </c>
      <c r="H360" s="1" t="s">
        <v>54</v>
      </c>
      <c r="I360" s="1" t="s">
        <v>691</v>
      </c>
      <c r="J360" s="1">
        <v>6.0</v>
      </c>
      <c r="K360" s="39"/>
      <c r="L360" s="1" t="s">
        <v>703</v>
      </c>
      <c r="M360" s="1" t="s">
        <v>697</v>
      </c>
      <c r="N360" s="1" t="s">
        <v>698</v>
      </c>
      <c r="O360" s="1" t="s">
        <v>704</v>
      </c>
      <c r="P360" s="1" t="s">
        <v>700</v>
      </c>
      <c r="Q360" s="1" t="s">
        <v>54</v>
      </c>
      <c r="R360" s="1" t="s">
        <v>691</v>
      </c>
    </row>
    <row r="361">
      <c r="A361" s="26" t="s">
        <v>686</v>
      </c>
      <c r="C361" s="1" t="s">
        <v>2346</v>
      </c>
      <c r="D361" s="1" t="s">
        <v>2558</v>
      </c>
      <c r="E361" s="1" t="s">
        <v>698</v>
      </c>
      <c r="F361" s="1" t="s">
        <v>2559</v>
      </c>
      <c r="G361" s="1" t="s">
        <v>716</v>
      </c>
      <c r="H361" s="1" t="s">
        <v>39</v>
      </c>
      <c r="I361" s="1" t="s">
        <v>691</v>
      </c>
      <c r="J361" s="1">
        <v>7.0</v>
      </c>
      <c r="K361" s="39"/>
      <c r="L361" s="2">
        <v>12.0</v>
      </c>
      <c r="M361" s="22" t="s">
        <v>705</v>
      </c>
      <c r="N361" s="22" t="s">
        <v>33</v>
      </c>
      <c r="O361" s="22" t="s">
        <v>706</v>
      </c>
      <c r="P361" s="22" t="s">
        <v>2560</v>
      </c>
      <c r="Q361" s="22" t="s">
        <v>44</v>
      </c>
      <c r="R361" s="22" t="s">
        <v>691</v>
      </c>
    </row>
    <row r="362">
      <c r="A362" s="26" t="s">
        <v>686</v>
      </c>
      <c r="C362" s="1" t="s">
        <v>2346</v>
      </c>
      <c r="D362" s="1" t="s">
        <v>2558</v>
      </c>
      <c r="E362" s="1" t="s">
        <v>698</v>
      </c>
      <c r="F362" s="1" t="s">
        <v>2561</v>
      </c>
      <c r="G362" s="1" t="s">
        <v>716</v>
      </c>
      <c r="H362" s="1" t="s">
        <v>39</v>
      </c>
      <c r="I362" s="1" t="s">
        <v>691</v>
      </c>
      <c r="J362" s="1">
        <v>8.0</v>
      </c>
      <c r="K362" s="39"/>
      <c r="L362" s="2">
        <v>13.0</v>
      </c>
      <c r="M362" s="22" t="s">
        <v>708</v>
      </c>
      <c r="N362" s="22" t="s">
        <v>709</v>
      </c>
      <c r="O362" s="27" t="s">
        <v>710</v>
      </c>
      <c r="P362" s="22"/>
      <c r="Q362" s="22" t="s">
        <v>39</v>
      </c>
      <c r="R362" s="22" t="s">
        <v>691</v>
      </c>
    </row>
    <row r="363">
      <c r="A363" s="26" t="s">
        <v>686</v>
      </c>
      <c r="C363" s="1" t="s">
        <v>2346</v>
      </c>
      <c r="D363" s="1" t="s">
        <v>2558</v>
      </c>
      <c r="E363" s="1" t="s">
        <v>698</v>
      </c>
      <c r="F363" s="1" t="s">
        <v>2562</v>
      </c>
      <c r="G363" s="1" t="s">
        <v>716</v>
      </c>
      <c r="H363" s="1" t="s">
        <v>39</v>
      </c>
      <c r="I363" s="1" t="s">
        <v>691</v>
      </c>
      <c r="J363" s="1">
        <v>9.0</v>
      </c>
      <c r="K363" s="39"/>
      <c r="L363" s="2">
        <v>14.0</v>
      </c>
      <c r="M363" s="22" t="s">
        <v>711</v>
      </c>
      <c r="N363" s="22" t="s">
        <v>709</v>
      </c>
      <c r="O363" s="22" t="s">
        <v>712</v>
      </c>
      <c r="P363" s="22" t="s">
        <v>713</v>
      </c>
      <c r="Q363" s="22" t="s">
        <v>39</v>
      </c>
      <c r="R363" s="22" t="s">
        <v>691</v>
      </c>
    </row>
    <row r="364">
      <c r="A364" s="26" t="s">
        <v>686</v>
      </c>
      <c r="C364" s="1" t="s">
        <v>2346</v>
      </c>
      <c r="D364" s="1" t="s">
        <v>2558</v>
      </c>
      <c r="E364" s="1" t="s">
        <v>719</v>
      </c>
      <c r="F364" s="1" t="s">
        <v>720</v>
      </c>
      <c r="G364" s="1" t="s">
        <v>721</v>
      </c>
      <c r="H364" s="1" t="s">
        <v>39</v>
      </c>
      <c r="I364" s="1" t="s">
        <v>691</v>
      </c>
      <c r="J364" s="1">
        <v>10.0</v>
      </c>
      <c r="K364" s="39"/>
      <c r="L364" s="2" t="s">
        <v>714</v>
      </c>
      <c r="M364" s="1" t="s">
        <v>697</v>
      </c>
      <c r="N364" s="1" t="s">
        <v>205</v>
      </c>
      <c r="O364" s="22" t="s">
        <v>715</v>
      </c>
      <c r="P364" s="1" t="s">
        <v>716</v>
      </c>
      <c r="Q364" s="1" t="s">
        <v>39</v>
      </c>
      <c r="R364" s="1" t="s">
        <v>691</v>
      </c>
    </row>
    <row r="365">
      <c r="A365" s="26" t="s">
        <v>686</v>
      </c>
      <c r="C365" s="1" t="s">
        <v>2250</v>
      </c>
      <c r="D365" s="22" t="s">
        <v>2563</v>
      </c>
      <c r="E365" s="22" t="s">
        <v>33</v>
      </c>
      <c r="F365" s="22" t="s">
        <v>2564</v>
      </c>
      <c r="G365" s="22" t="s">
        <v>2560</v>
      </c>
      <c r="H365" s="22" t="s">
        <v>91</v>
      </c>
      <c r="I365" s="22" t="s">
        <v>691</v>
      </c>
      <c r="J365" s="1">
        <v>11.0</v>
      </c>
      <c r="K365" s="39"/>
      <c r="L365" s="2" t="s">
        <v>2565</v>
      </c>
      <c r="M365" s="1" t="s">
        <v>697</v>
      </c>
      <c r="N365" s="1" t="s">
        <v>205</v>
      </c>
      <c r="O365" s="1" t="s">
        <v>2561</v>
      </c>
      <c r="P365" s="1" t="s">
        <v>716</v>
      </c>
      <c r="Q365" s="1" t="s">
        <v>39</v>
      </c>
      <c r="R365" s="1" t="s">
        <v>691</v>
      </c>
    </row>
    <row r="366">
      <c r="A366" s="26" t="s">
        <v>686</v>
      </c>
      <c r="C366" s="1" t="s">
        <v>2250</v>
      </c>
      <c r="D366" s="22" t="s">
        <v>705</v>
      </c>
      <c r="E366" s="22" t="s">
        <v>33</v>
      </c>
      <c r="F366" s="22" t="s">
        <v>706</v>
      </c>
      <c r="G366" s="22" t="s">
        <v>2560</v>
      </c>
      <c r="H366" s="22" t="s">
        <v>44</v>
      </c>
      <c r="I366" s="22" t="s">
        <v>691</v>
      </c>
      <c r="J366" s="1">
        <v>12.0</v>
      </c>
      <c r="K366" s="39"/>
      <c r="L366" s="2" t="s">
        <v>2566</v>
      </c>
      <c r="M366" s="1" t="s">
        <v>697</v>
      </c>
      <c r="N366" s="1" t="s">
        <v>205</v>
      </c>
      <c r="O366" s="1" t="s">
        <v>2562</v>
      </c>
      <c r="P366" s="1" t="s">
        <v>716</v>
      </c>
      <c r="Q366" s="1" t="s">
        <v>39</v>
      </c>
      <c r="R366" s="1" t="s">
        <v>691</v>
      </c>
    </row>
    <row r="367">
      <c r="A367" s="26" t="s">
        <v>686</v>
      </c>
      <c r="C367" s="1" t="s">
        <v>2250</v>
      </c>
      <c r="D367" s="22" t="s">
        <v>708</v>
      </c>
      <c r="E367" s="22" t="s">
        <v>709</v>
      </c>
      <c r="F367" s="27" t="s">
        <v>710</v>
      </c>
      <c r="G367" s="22"/>
      <c r="H367" s="22" t="s">
        <v>39</v>
      </c>
      <c r="I367" s="22" t="s">
        <v>691</v>
      </c>
      <c r="J367" s="1">
        <v>13.0</v>
      </c>
      <c r="K367" s="39"/>
      <c r="L367" s="2">
        <v>10.0</v>
      </c>
      <c r="M367" s="1" t="s">
        <v>697</v>
      </c>
      <c r="N367" s="1" t="s">
        <v>719</v>
      </c>
      <c r="O367" s="1" t="s">
        <v>720</v>
      </c>
      <c r="P367" s="1" t="s">
        <v>721</v>
      </c>
      <c r="Q367" s="1" t="s">
        <v>39</v>
      </c>
      <c r="R367" s="1" t="s">
        <v>691</v>
      </c>
    </row>
    <row r="368">
      <c r="A368" s="26" t="s">
        <v>686</v>
      </c>
      <c r="C368" s="1" t="s">
        <v>2250</v>
      </c>
      <c r="D368" s="22" t="s">
        <v>711</v>
      </c>
      <c r="E368" s="22" t="s">
        <v>709</v>
      </c>
      <c r="F368" s="22" t="s">
        <v>712</v>
      </c>
      <c r="G368" s="22" t="s">
        <v>713</v>
      </c>
      <c r="H368" s="22" t="s">
        <v>39</v>
      </c>
      <c r="I368" s="22" t="s">
        <v>691</v>
      </c>
      <c r="J368" s="1">
        <v>14.0</v>
      </c>
      <c r="K368" s="39"/>
    </row>
    <row r="369">
      <c r="A369" s="26" t="s">
        <v>686</v>
      </c>
      <c r="C369" s="1" t="s">
        <v>2250</v>
      </c>
      <c r="D369" s="22" t="s">
        <v>2567</v>
      </c>
      <c r="E369" s="22" t="s">
        <v>412</v>
      </c>
      <c r="F369" s="22" t="s">
        <v>715</v>
      </c>
      <c r="G369" s="22" t="s">
        <v>2568</v>
      </c>
      <c r="H369" s="22" t="s">
        <v>54</v>
      </c>
      <c r="I369" s="22" t="s">
        <v>691</v>
      </c>
      <c r="J369" s="1">
        <v>15.0</v>
      </c>
      <c r="K369" s="39"/>
    </row>
    <row r="370">
      <c r="A370" s="26" t="s">
        <v>686</v>
      </c>
      <c r="C370" s="1" t="s">
        <v>2250</v>
      </c>
      <c r="D370" s="22" t="s">
        <v>2567</v>
      </c>
      <c r="E370" s="22" t="s">
        <v>412</v>
      </c>
      <c r="F370" s="22" t="s">
        <v>2569</v>
      </c>
      <c r="G370" s="22" t="s">
        <v>2570</v>
      </c>
      <c r="H370" s="22" t="s">
        <v>54</v>
      </c>
      <c r="I370" s="22" t="s">
        <v>691</v>
      </c>
      <c r="J370" s="1">
        <v>16.0</v>
      </c>
      <c r="K370" s="39"/>
    </row>
    <row r="371">
      <c r="A371" s="26"/>
      <c r="K371" s="39"/>
    </row>
    <row r="372">
      <c r="A372" s="26"/>
      <c r="K372" s="39"/>
    </row>
    <row r="373">
      <c r="A373" s="26"/>
      <c r="K373" s="39"/>
    </row>
    <row r="374">
      <c r="A374" s="26"/>
      <c r="K374" s="39"/>
    </row>
    <row r="375">
      <c r="A375" s="26"/>
      <c r="K375" s="39"/>
    </row>
    <row r="376">
      <c r="A376" s="26"/>
      <c r="K376" s="39"/>
      <c r="L376" s="45"/>
    </row>
    <row r="377">
      <c r="K377" s="39"/>
      <c r="L377" s="45"/>
    </row>
    <row r="378">
      <c r="K378" s="39"/>
      <c r="L378" s="45"/>
    </row>
    <row r="379">
      <c r="K379" s="39"/>
      <c r="L379" s="45"/>
    </row>
    <row r="380">
      <c r="K380" s="39"/>
      <c r="L380" s="45"/>
    </row>
    <row r="381">
      <c r="K381" s="39"/>
      <c r="L381" s="45"/>
    </row>
    <row r="382">
      <c r="K382" s="39"/>
      <c r="L382" s="45"/>
    </row>
    <row r="383">
      <c r="K383" s="39"/>
      <c r="L383" s="45"/>
    </row>
    <row r="384">
      <c r="K384" s="39"/>
      <c r="L384" s="45"/>
    </row>
    <row r="385">
      <c r="K385" s="39"/>
      <c r="L385" s="45"/>
    </row>
    <row r="386">
      <c r="K386" s="39"/>
      <c r="L386" s="45"/>
    </row>
    <row r="387">
      <c r="K387" s="39"/>
      <c r="L387" s="45"/>
    </row>
    <row r="388">
      <c r="K388" s="39"/>
      <c r="L388" s="45"/>
    </row>
    <row r="389">
      <c r="K389" s="39"/>
      <c r="L389" s="45"/>
    </row>
    <row r="390">
      <c r="K390" s="39"/>
      <c r="L390" s="45"/>
    </row>
    <row r="391">
      <c r="K391" s="39"/>
      <c r="L391" s="45"/>
    </row>
    <row r="392">
      <c r="K392" s="39"/>
      <c r="L392" s="45"/>
    </row>
    <row r="393">
      <c r="K393" s="39"/>
      <c r="L393" s="45"/>
    </row>
    <row r="394">
      <c r="K394" s="39"/>
      <c r="L394" s="45"/>
    </row>
    <row r="395">
      <c r="K395" s="39"/>
      <c r="L395" s="45"/>
    </row>
    <row r="396">
      <c r="K396" s="39"/>
      <c r="L396" s="45"/>
    </row>
    <row r="397">
      <c r="K397" s="39"/>
      <c r="L397" s="45"/>
    </row>
    <row r="398">
      <c r="K398" s="39"/>
      <c r="L398" s="45"/>
    </row>
    <row r="399">
      <c r="K399" s="39"/>
      <c r="L399" s="45"/>
    </row>
    <row r="400">
      <c r="K400" s="39"/>
      <c r="L400" s="45"/>
    </row>
    <row r="401">
      <c r="K401" s="39"/>
      <c r="L401" s="45"/>
    </row>
    <row r="402">
      <c r="K402" s="39"/>
      <c r="L402" s="45"/>
    </row>
    <row r="403">
      <c r="K403" s="39"/>
      <c r="L403" s="45"/>
    </row>
    <row r="404">
      <c r="K404" s="39"/>
      <c r="L404" s="45"/>
    </row>
    <row r="405">
      <c r="K405" s="39"/>
      <c r="L405" s="45"/>
    </row>
    <row r="406">
      <c r="K406" s="39"/>
      <c r="L406" s="45"/>
    </row>
    <row r="407">
      <c r="K407" s="39"/>
      <c r="L407" s="45"/>
    </row>
    <row r="408">
      <c r="K408" s="39"/>
      <c r="L408" s="45"/>
    </row>
    <row r="409">
      <c r="K409" s="39"/>
      <c r="L409" s="45"/>
    </row>
    <row r="410">
      <c r="K410" s="39"/>
      <c r="L410" s="45"/>
    </row>
    <row r="411">
      <c r="K411" s="39"/>
      <c r="L411" s="45"/>
    </row>
    <row r="412">
      <c r="K412" s="39"/>
      <c r="L412" s="45"/>
    </row>
    <row r="413">
      <c r="K413" s="39"/>
      <c r="L413" s="45"/>
    </row>
    <row r="414">
      <c r="K414" s="39"/>
      <c r="L414" s="45"/>
    </row>
    <row r="415">
      <c r="K415" s="39"/>
      <c r="L415" s="45"/>
    </row>
    <row r="416">
      <c r="K416" s="39"/>
      <c r="L416" s="45"/>
    </row>
    <row r="417">
      <c r="K417" s="39"/>
      <c r="L417" s="45"/>
    </row>
    <row r="418">
      <c r="K418" s="39"/>
      <c r="L418" s="45"/>
    </row>
    <row r="419">
      <c r="K419" s="39"/>
      <c r="L419" s="45"/>
    </row>
    <row r="420">
      <c r="K420" s="39"/>
      <c r="L420" s="45"/>
    </row>
    <row r="421">
      <c r="K421" s="39"/>
      <c r="L421" s="45"/>
    </row>
    <row r="422">
      <c r="K422" s="39"/>
      <c r="L422" s="45"/>
    </row>
    <row r="423">
      <c r="K423" s="39"/>
      <c r="L423" s="45"/>
    </row>
    <row r="424">
      <c r="K424" s="39"/>
      <c r="L424" s="45"/>
    </row>
    <row r="425">
      <c r="K425" s="39"/>
      <c r="L425" s="45"/>
    </row>
    <row r="426">
      <c r="K426" s="39"/>
      <c r="L426" s="45"/>
    </row>
    <row r="427">
      <c r="K427" s="39"/>
      <c r="L427" s="45"/>
    </row>
    <row r="428">
      <c r="K428" s="39"/>
      <c r="L428" s="45"/>
    </row>
    <row r="429">
      <c r="K429" s="39"/>
      <c r="L429" s="45"/>
    </row>
    <row r="430">
      <c r="K430" s="39"/>
      <c r="L430" s="45"/>
    </row>
    <row r="431">
      <c r="K431" s="39"/>
      <c r="L431" s="45"/>
    </row>
    <row r="432">
      <c r="K432" s="39"/>
      <c r="L432" s="45"/>
    </row>
    <row r="433">
      <c r="K433" s="39"/>
      <c r="L433" s="45"/>
    </row>
    <row r="434">
      <c r="K434" s="39"/>
      <c r="L434" s="45"/>
    </row>
    <row r="435">
      <c r="K435" s="39"/>
      <c r="L435" s="45"/>
    </row>
    <row r="436">
      <c r="K436" s="39"/>
      <c r="L436" s="45"/>
    </row>
    <row r="437">
      <c r="K437" s="39"/>
      <c r="L437" s="45"/>
    </row>
    <row r="438">
      <c r="K438" s="39"/>
      <c r="L438" s="45"/>
    </row>
    <row r="439">
      <c r="K439" s="39"/>
      <c r="L439" s="45"/>
    </row>
    <row r="440">
      <c r="K440" s="39"/>
      <c r="L440" s="45"/>
    </row>
    <row r="441">
      <c r="K441" s="39"/>
      <c r="L441" s="45"/>
    </row>
    <row r="442">
      <c r="K442" s="39"/>
      <c r="L442" s="45"/>
    </row>
    <row r="443">
      <c r="K443" s="39"/>
      <c r="L443" s="45"/>
    </row>
    <row r="444">
      <c r="K444" s="39"/>
      <c r="L444" s="45"/>
    </row>
    <row r="445">
      <c r="K445" s="39"/>
      <c r="L445" s="45"/>
    </row>
    <row r="446">
      <c r="K446" s="39"/>
      <c r="L446" s="45"/>
    </row>
    <row r="447">
      <c r="K447" s="39"/>
      <c r="L447" s="45"/>
    </row>
    <row r="448">
      <c r="K448" s="39"/>
      <c r="L448" s="45"/>
    </row>
    <row r="449">
      <c r="K449" s="39"/>
      <c r="L449" s="45"/>
    </row>
    <row r="450">
      <c r="K450" s="39"/>
      <c r="L450" s="45"/>
    </row>
    <row r="451">
      <c r="K451" s="39"/>
      <c r="L451" s="45"/>
    </row>
    <row r="452">
      <c r="K452" s="39"/>
      <c r="L452" s="45"/>
    </row>
    <row r="453">
      <c r="K453" s="39"/>
      <c r="L453" s="45"/>
    </row>
    <row r="454">
      <c r="K454" s="39"/>
      <c r="L454" s="45"/>
    </row>
    <row r="455">
      <c r="K455" s="39"/>
      <c r="L455" s="45"/>
    </row>
    <row r="456">
      <c r="K456" s="39"/>
      <c r="L456" s="45"/>
    </row>
    <row r="457">
      <c r="K457" s="39"/>
      <c r="L457" s="45"/>
    </row>
    <row r="458">
      <c r="K458" s="39"/>
      <c r="L458" s="45"/>
    </row>
    <row r="459">
      <c r="K459" s="39"/>
      <c r="L459" s="45"/>
    </row>
    <row r="460">
      <c r="K460" s="39"/>
      <c r="L460" s="45"/>
    </row>
    <row r="461">
      <c r="K461" s="39"/>
      <c r="L461" s="45"/>
    </row>
    <row r="462">
      <c r="K462" s="39"/>
      <c r="L462" s="45"/>
    </row>
    <row r="463">
      <c r="K463" s="39"/>
      <c r="L463" s="45"/>
    </row>
    <row r="464">
      <c r="K464" s="39"/>
      <c r="L464" s="45"/>
    </row>
    <row r="465">
      <c r="K465" s="39"/>
      <c r="L465" s="45"/>
    </row>
    <row r="466">
      <c r="K466" s="39"/>
      <c r="L466" s="45"/>
    </row>
    <row r="467">
      <c r="K467" s="39"/>
      <c r="L467" s="45"/>
    </row>
    <row r="468">
      <c r="K468" s="39"/>
      <c r="L468" s="45"/>
    </row>
    <row r="469">
      <c r="K469" s="39"/>
      <c r="L469" s="45"/>
    </row>
    <row r="470">
      <c r="K470" s="39"/>
      <c r="L470" s="45"/>
    </row>
    <row r="471">
      <c r="K471" s="39"/>
      <c r="L471" s="45"/>
    </row>
    <row r="472">
      <c r="K472" s="39"/>
      <c r="L472" s="45"/>
    </row>
    <row r="473">
      <c r="K473" s="39"/>
      <c r="L473" s="45"/>
    </row>
    <row r="474">
      <c r="K474" s="39"/>
      <c r="L474" s="45"/>
    </row>
    <row r="475">
      <c r="K475" s="39"/>
      <c r="L475" s="45"/>
    </row>
    <row r="476">
      <c r="K476" s="39"/>
      <c r="L476" s="45"/>
    </row>
    <row r="477">
      <c r="K477" s="39"/>
      <c r="L477" s="45"/>
    </row>
    <row r="478">
      <c r="K478" s="39"/>
      <c r="L478" s="45"/>
    </row>
    <row r="479">
      <c r="K479" s="39"/>
      <c r="L479" s="45"/>
    </row>
    <row r="480">
      <c r="K480" s="39"/>
      <c r="L480" s="45"/>
    </row>
    <row r="481">
      <c r="K481" s="39"/>
      <c r="L481" s="45"/>
    </row>
    <row r="482">
      <c r="K482" s="39"/>
      <c r="L482" s="45"/>
    </row>
    <row r="483">
      <c r="K483" s="39"/>
      <c r="L483" s="45"/>
    </row>
    <row r="484">
      <c r="K484" s="39"/>
      <c r="L484" s="45"/>
    </row>
    <row r="485">
      <c r="K485" s="39"/>
      <c r="L485" s="45"/>
    </row>
    <row r="486">
      <c r="K486" s="39"/>
      <c r="L486" s="45"/>
    </row>
    <row r="487">
      <c r="K487" s="39"/>
      <c r="L487" s="45"/>
    </row>
    <row r="488">
      <c r="K488" s="39"/>
      <c r="L488" s="45"/>
    </row>
    <row r="489">
      <c r="K489" s="39"/>
      <c r="L489" s="45"/>
    </row>
    <row r="490">
      <c r="K490" s="39"/>
      <c r="L490" s="45"/>
    </row>
    <row r="491">
      <c r="K491" s="39"/>
      <c r="L491" s="45"/>
    </row>
    <row r="492">
      <c r="K492" s="39"/>
      <c r="L492" s="45"/>
    </row>
    <row r="493">
      <c r="K493" s="39"/>
      <c r="L493" s="45"/>
    </row>
    <row r="494">
      <c r="K494" s="39"/>
      <c r="L494" s="45"/>
    </row>
    <row r="495">
      <c r="K495" s="39"/>
      <c r="L495" s="45"/>
    </row>
    <row r="496">
      <c r="K496" s="39"/>
      <c r="L496" s="45"/>
    </row>
    <row r="497">
      <c r="K497" s="39"/>
      <c r="L497" s="45"/>
    </row>
    <row r="498">
      <c r="K498" s="39"/>
      <c r="L498" s="45"/>
    </row>
    <row r="499">
      <c r="K499" s="39"/>
      <c r="L499" s="45"/>
    </row>
    <row r="500">
      <c r="K500" s="39"/>
      <c r="L500" s="45"/>
    </row>
    <row r="501">
      <c r="K501" s="39"/>
      <c r="L501" s="45"/>
    </row>
    <row r="502">
      <c r="K502" s="39"/>
      <c r="L502" s="45"/>
    </row>
    <row r="503">
      <c r="K503" s="39"/>
      <c r="L503" s="45"/>
    </row>
    <row r="504">
      <c r="K504" s="39"/>
      <c r="L504" s="45"/>
    </row>
    <row r="505">
      <c r="K505" s="39"/>
      <c r="L505" s="45"/>
    </row>
    <row r="506">
      <c r="K506" s="39"/>
      <c r="L506" s="45"/>
    </row>
    <row r="507">
      <c r="K507" s="39"/>
      <c r="L507" s="45"/>
    </row>
    <row r="508">
      <c r="K508" s="39"/>
      <c r="L508" s="45"/>
    </row>
    <row r="509">
      <c r="K509" s="39"/>
      <c r="L509" s="45"/>
    </row>
    <row r="510">
      <c r="K510" s="39"/>
      <c r="L510" s="45"/>
    </row>
    <row r="511">
      <c r="K511" s="39"/>
      <c r="L511" s="45"/>
    </row>
    <row r="512">
      <c r="K512" s="39"/>
      <c r="L512" s="45"/>
    </row>
    <row r="513">
      <c r="K513" s="39"/>
      <c r="L513" s="45"/>
    </row>
    <row r="514">
      <c r="K514" s="39"/>
      <c r="L514" s="45"/>
    </row>
    <row r="515">
      <c r="K515" s="39"/>
      <c r="L515" s="45"/>
    </row>
    <row r="516">
      <c r="K516" s="39"/>
      <c r="L516" s="45"/>
    </row>
    <row r="517">
      <c r="K517" s="39"/>
      <c r="L517" s="45"/>
    </row>
    <row r="518">
      <c r="K518" s="39"/>
      <c r="L518" s="45"/>
    </row>
    <row r="519">
      <c r="K519" s="39"/>
      <c r="L519" s="45"/>
    </row>
    <row r="520">
      <c r="K520" s="39"/>
      <c r="L520" s="45"/>
    </row>
    <row r="521">
      <c r="K521" s="39"/>
      <c r="L521" s="45"/>
    </row>
    <row r="522">
      <c r="K522" s="39"/>
      <c r="L522" s="45"/>
    </row>
    <row r="523">
      <c r="K523" s="39"/>
      <c r="L523" s="45"/>
    </row>
    <row r="524">
      <c r="K524" s="39"/>
      <c r="L524" s="45"/>
    </row>
    <row r="525">
      <c r="K525" s="39"/>
      <c r="L525" s="45"/>
    </row>
    <row r="526">
      <c r="K526" s="39"/>
      <c r="L526" s="45"/>
    </row>
    <row r="527">
      <c r="K527" s="39"/>
      <c r="L527" s="45"/>
    </row>
    <row r="528">
      <c r="K528" s="39"/>
      <c r="L528" s="45"/>
    </row>
    <row r="529">
      <c r="K529" s="39"/>
      <c r="L529" s="45"/>
    </row>
    <row r="530">
      <c r="K530" s="39"/>
      <c r="L530" s="45"/>
    </row>
    <row r="531">
      <c r="K531" s="39"/>
      <c r="L531" s="45"/>
    </row>
    <row r="532">
      <c r="K532" s="39"/>
      <c r="L532" s="45"/>
    </row>
    <row r="533">
      <c r="K533" s="39"/>
      <c r="L533" s="45"/>
    </row>
    <row r="534">
      <c r="K534" s="39"/>
      <c r="L534" s="45"/>
    </row>
    <row r="535">
      <c r="K535" s="39"/>
      <c r="L535" s="45"/>
    </row>
    <row r="536">
      <c r="K536" s="39"/>
      <c r="L536" s="45"/>
    </row>
    <row r="537">
      <c r="K537" s="39"/>
      <c r="L537" s="45"/>
    </row>
    <row r="538">
      <c r="K538" s="39"/>
      <c r="L538" s="45"/>
    </row>
    <row r="539">
      <c r="K539" s="39"/>
      <c r="L539" s="45"/>
    </row>
    <row r="540">
      <c r="K540" s="39"/>
      <c r="L540" s="45"/>
    </row>
    <row r="541">
      <c r="K541" s="39"/>
      <c r="L541" s="45"/>
    </row>
    <row r="542">
      <c r="K542" s="39"/>
      <c r="L542" s="45"/>
    </row>
    <row r="543">
      <c r="K543" s="39"/>
      <c r="L543" s="45"/>
    </row>
    <row r="544">
      <c r="K544" s="39"/>
      <c r="L544" s="45"/>
    </row>
    <row r="545">
      <c r="K545" s="39"/>
      <c r="L545" s="45"/>
    </row>
    <row r="546">
      <c r="K546" s="39"/>
      <c r="L546" s="45"/>
    </row>
    <row r="547">
      <c r="K547" s="39"/>
      <c r="L547" s="45"/>
    </row>
    <row r="548">
      <c r="K548" s="39"/>
      <c r="L548" s="45"/>
    </row>
    <row r="549">
      <c r="K549" s="39"/>
      <c r="L549" s="45"/>
    </row>
    <row r="550">
      <c r="K550" s="39"/>
      <c r="L550" s="45"/>
    </row>
    <row r="551">
      <c r="K551" s="39"/>
      <c r="L551" s="45"/>
    </row>
    <row r="552">
      <c r="K552" s="39"/>
      <c r="L552" s="45"/>
    </row>
    <row r="553">
      <c r="K553" s="39"/>
      <c r="L553" s="45"/>
    </row>
    <row r="554">
      <c r="K554" s="39"/>
      <c r="L554" s="45"/>
    </row>
    <row r="555">
      <c r="K555" s="39"/>
      <c r="L555" s="45"/>
    </row>
    <row r="556">
      <c r="K556" s="39"/>
      <c r="L556" s="45"/>
    </row>
    <row r="557">
      <c r="K557" s="39"/>
      <c r="L557" s="45"/>
    </row>
    <row r="558">
      <c r="K558" s="39"/>
      <c r="L558" s="45"/>
    </row>
    <row r="559">
      <c r="K559" s="39"/>
      <c r="L559" s="45"/>
    </row>
    <row r="560">
      <c r="K560" s="39"/>
      <c r="L560" s="45"/>
    </row>
    <row r="561">
      <c r="K561" s="39"/>
      <c r="L561" s="45"/>
    </row>
    <row r="562">
      <c r="K562" s="39"/>
      <c r="L562" s="45"/>
    </row>
    <row r="563">
      <c r="K563" s="39"/>
      <c r="L563" s="45"/>
    </row>
    <row r="564">
      <c r="K564" s="39"/>
      <c r="L564" s="45"/>
    </row>
    <row r="565">
      <c r="K565" s="39"/>
      <c r="L565" s="45"/>
    </row>
    <row r="566">
      <c r="K566" s="39"/>
      <c r="L566" s="45"/>
    </row>
    <row r="567">
      <c r="K567" s="39"/>
      <c r="L567" s="45"/>
    </row>
    <row r="568">
      <c r="K568" s="39"/>
      <c r="L568" s="45"/>
    </row>
    <row r="569">
      <c r="K569" s="39"/>
      <c r="L569" s="45"/>
    </row>
    <row r="570">
      <c r="K570" s="39"/>
      <c r="L570" s="45"/>
    </row>
    <row r="571">
      <c r="K571" s="39"/>
      <c r="L571" s="45"/>
    </row>
    <row r="572">
      <c r="K572" s="39"/>
      <c r="L572" s="45"/>
    </row>
    <row r="573">
      <c r="K573" s="39"/>
      <c r="L573" s="45"/>
    </row>
    <row r="574">
      <c r="K574" s="39"/>
      <c r="L574" s="45"/>
    </row>
    <row r="575">
      <c r="K575" s="39"/>
      <c r="L575" s="45"/>
    </row>
    <row r="576">
      <c r="K576" s="39"/>
      <c r="L576" s="45"/>
    </row>
    <row r="577">
      <c r="K577" s="39"/>
      <c r="L577" s="45"/>
    </row>
    <row r="578">
      <c r="K578" s="39"/>
      <c r="L578" s="45"/>
    </row>
    <row r="579">
      <c r="K579" s="39"/>
      <c r="L579" s="45"/>
    </row>
    <row r="580">
      <c r="K580" s="39"/>
      <c r="L580" s="45"/>
    </row>
    <row r="581">
      <c r="K581" s="39"/>
      <c r="L581" s="45"/>
    </row>
    <row r="582">
      <c r="K582" s="39"/>
      <c r="L582" s="45"/>
    </row>
    <row r="583">
      <c r="K583" s="39"/>
      <c r="L583" s="45"/>
    </row>
    <row r="584">
      <c r="K584" s="39"/>
      <c r="L584" s="45"/>
    </row>
    <row r="585">
      <c r="K585" s="39"/>
      <c r="L585" s="45"/>
    </row>
    <row r="586">
      <c r="K586" s="39"/>
      <c r="L586" s="45"/>
    </row>
    <row r="587">
      <c r="K587" s="39"/>
      <c r="L587" s="45"/>
    </row>
    <row r="588">
      <c r="K588" s="39"/>
      <c r="L588" s="45"/>
    </row>
    <row r="589">
      <c r="K589" s="39"/>
      <c r="L589" s="45"/>
    </row>
    <row r="590">
      <c r="K590" s="39"/>
      <c r="L590" s="45"/>
    </row>
    <row r="591">
      <c r="K591" s="39"/>
      <c r="L591" s="45"/>
    </row>
    <row r="592">
      <c r="K592" s="39"/>
      <c r="L592" s="45"/>
    </row>
    <row r="593">
      <c r="K593" s="39"/>
      <c r="L593" s="45"/>
    </row>
    <row r="594">
      <c r="K594" s="39"/>
      <c r="L594" s="45"/>
    </row>
    <row r="595">
      <c r="K595" s="39"/>
      <c r="L595" s="45"/>
    </row>
    <row r="596">
      <c r="K596" s="39"/>
      <c r="L596" s="45"/>
    </row>
    <row r="597">
      <c r="K597" s="39"/>
      <c r="L597" s="45"/>
    </row>
    <row r="598">
      <c r="K598" s="39"/>
      <c r="L598" s="45"/>
    </row>
    <row r="599">
      <c r="K599" s="39"/>
      <c r="L599" s="45"/>
    </row>
    <row r="600">
      <c r="K600" s="39"/>
      <c r="L600" s="45"/>
    </row>
    <row r="601">
      <c r="K601" s="39"/>
      <c r="L601" s="45"/>
    </row>
    <row r="602">
      <c r="K602" s="39"/>
      <c r="L602" s="45"/>
    </row>
    <row r="603">
      <c r="K603" s="39"/>
      <c r="L603" s="45"/>
    </row>
    <row r="604">
      <c r="K604" s="39"/>
      <c r="L604" s="45"/>
    </row>
    <row r="605">
      <c r="K605" s="39"/>
      <c r="L605" s="45"/>
    </row>
    <row r="606">
      <c r="K606" s="39"/>
      <c r="L606" s="45"/>
    </row>
    <row r="607">
      <c r="K607" s="39"/>
      <c r="L607" s="45"/>
    </row>
    <row r="608">
      <c r="K608" s="39"/>
      <c r="L608" s="45"/>
    </row>
    <row r="609">
      <c r="K609" s="39"/>
      <c r="L609" s="45"/>
    </row>
    <row r="610">
      <c r="K610" s="39"/>
      <c r="L610" s="45"/>
    </row>
    <row r="611">
      <c r="K611" s="39"/>
      <c r="L611" s="45"/>
    </row>
    <row r="612">
      <c r="K612" s="39"/>
      <c r="L612" s="45"/>
    </row>
    <row r="613">
      <c r="K613" s="39"/>
      <c r="L613" s="45"/>
    </row>
    <row r="614">
      <c r="K614" s="39"/>
      <c r="L614" s="45"/>
    </row>
    <row r="615">
      <c r="K615" s="39"/>
      <c r="L615" s="45"/>
    </row>
    <row r="616">
      <c r="K616" s="39"/>
      <c r="L616" s="45"/>
    </row>
    <row r="617">
      <c r="K617" s="39"/>
      <c r="L617" s="45"/>
    </row>
    <row r="618">
      <c r="K618" s="39"/>
      <c r="L618" s="45"/>
    </row>
    <row r="619">
      <c r="K619" s="39"/>
      <c r="L619" s="45"/>
    </row>
    <row r="620">
      <c r="K620" s="39"/>
      <c r="L620" s="45"/>
    </row>
    <row r="621">
      <c r="K621" s="39"/>
      <c r="L621" s="45"/>
    </row>
    <row r="622">
      <c r="K622" s="39"/>
      <c r="L622" s="45"/>
    </row>
    <row r="623">
      <c r="K623" s="39"/>
      <c r="L623" s="45"/>
    </row>
    <row r="624">
      <c r="K624" s="39"/>
      <c r="L624" s="45"/>
    </row>
    <row r="625">
      <c r="K625" s="39"/>
      <c r="L625" s="45"/>
    </row>
    <row r="626">
      <c r="K626" s="39"/>
      <c r="L626" s="45"/>
    </row>
    <row r="627">
      <c r="K627" s="39"/>
      <c r="L627" s="45"/>
    </row>
    <row r="628">
      <c r="K628" s="39"/>
      <c r="L628" s="45"/>
    </row>
    <row r="629">
      <c r="K629" s="39"/>
      <c r="L629" s="45"/>
    </row>
    <row r="630">
      <c r="K630" s="39"/>
      <c r="L630" s="45"/>
    </row>
    <row r="631">
      <c r="K631" s="39"/>
      <c r="L631" s="45"/>
    </row>
    <row r="632">
      <c r="K632" s="39"/>
      <c r="L632" s="45"/>
    </row>
    <row r="633">
      <c r="K633" s="39"/>
      <c r="L633" s="45"/>
    </row>
    <row r="634">
      <c r="K634" s="39"/>
      <c r="L634" s="45"/>
    </row>
    <row r="635">
      <c r="K635" s="39"/>
      <c r="L635" s="45"/>
    </row>
    <row r="636">
      <c r="K636" s="39"/>
      <c r="L636" s="45"/>
    </row>
    <row r="637">
      <c r="K637" s="39"/>
      <c r="L637" s="45"/>
    </row>
    <row r="638">
      <c r="K638" s="39"/>
      <c r="L638" s="45"/>
    </row>
    <row r="639">
      <c r="K639" s="39"/>
      <c r="L639" s="45"/>
    </row>
    <row r="640">
      <c r="K640" s="39"/>
      <c r="L640" s="45"/>
    </row>
    <row r="641">
      <c r="K641" s="39"/>
      <c r="L641" s="45"/>
    </row>
    <row r="642">
      <c r="K642" s="39"/>
      <c r="L642" s="45"/>
    </row>
    <row r="643">
      <c r="K643" s="39"/>
      <c r="L643" s="45"/>
    </row>
    <row r="644">
      <c r="K644" s="39"/>
      <c r="L644" s="45"/>
    </row>
    <row r="645">
      <c r="K645" s="39"/>
      <c r="L645" s="45"/>
    </row>
    <row r="646">
      <c r="K646" s="39"/>
      <c r="L646" s="45"/>
    </row>
    <row r="647">
      <c r="K647" s="39"/>
      <c r="L647" s="45"/>
    </row>
    <row r="648">
      <c r="K648" s="39"/>
      <c r="L648" s="45"/>
    </row>
    <row r="649">
      <c r="K649" s="39"/>
      <c r="L649" s="45"/>
    </row>
    <row r="650">
      <c r="K650" s="39"/>
      <c r="L650" s="45"/>
    </row>
    <row r="651">
      <c r="K651" s="39"/>
      <c r="L651" s="45"/>
    </row>
    <row r="652">
      <c r="K652" s="39"/>
      <c r="L652" s="45"/>
    </row>
    <row r="653">
      <c r="K653" s="39"/>
      <c r="L653" s="45"/>
    </row>
    <row r="654">
      <c r="K654" s="39"/>
      <c r="L654" s="45"/>
    </row>
    <row r="655">
      <c r="K655" s="39"/>
      <c r="L655" s="45"/>
    </row>
    <row r="656">
      <c r="K656" s="39"/>
      <c r="L656" s="45"/>
    </row>
    <row r="657">
      <c r="K657" s="39"/>
      <c r="L657" s="45"/>
    </row>
    <row r="658">
      <c r="K658" s="39"/>
      <c r="L658" s="45"/>
    </row>
    <row r="659">
      <c r="K659" s="39"/>
      <c r="L659" s="45"/>
    </row>
    <row r="660">
      <c r="K660" s="39"/>
      <c r="L660" s="45"/>
    </row>
    <row r="661">
      <c r="K661" s="39"/>
      <c r="L661" s="45"/>
    </row>
    <row r="662">
      <c r="K662" s="39"/>
      <c r="L662" s="45"/>
    </row>
    <row r="663">
      <c r="K663" s="39"/>
      <c r="L663" s="45"/>
    </row>
    <row r="664">
      <c r="K664" s="39"/>
      <c r="L664" s="45"/>
    </row>
    <row r="665">
      <c r="K665" s="39"/>
      <c r="L665" s="45"/>
    </row>
    <row r="666">
      <c r="K666" s="39"/>
      <c r="L666" s="45"/>
    </row>
    <row r="667">
      <c r="K667" s="39"/>
      <c r="L667" s="45"/>
    </row>
    <row r="668">
      <c r="K668" s="39"/>
      <c r="L668" s="45"/>
    </row>
    <row r="669">
      <c r="K669" s="39"/>
      <c r="L669" s="45"/>
    </row>
    <row r="670">
      <c r="K670" s="39"/>
      <c r="L670" s="45"/>
    </row>
    <row r="671">
      <c r="K671" s="39"/>
      <c r="L671" s="45"/>
    </row>
    <row r="672">
      <c r="K672" s="39"/>
      <c r="L672" s="45"/>
    </row>
    <row r="673">
      <c r="K673" s="39"/>
      <c r="L673" s="45"/>
    </row>
    <row r="674">
      <c r="K674" s="39"/>
      <c r="L674" s="45"/>
    </row>
    <row r="675">
      <c r="K675" s="39"/>
      <c r="L675" s="45"/>
    </row>
    <row r="676">
      <c r="K676" s="39"/>
      <c r="L676" s="45"/>
    </row>
    <row r="677">
      <c r="K677" s="39"/>
      <c r="L677" s="45"/>
    </row>
    <row r="678">
      <c r="K678" s="39"/>
      <c r="L678" s="45"/>
    </row>
    <row r="679">
      <c r="K679" s="39"/>
      <c r="L679" s="45"/>
    </row>
    <row r="680">
      <c r="K680" s="39"/>
      <c r="L680" s="45"/>
    </row>
    <row r="681">
      <c r="K681" s="39"/>
      <c r="L681" s="45"/>
    </row>
    <row r="682">
      <c r="K682" s="39"/>
      <c r="L682" s="45"/>
    </row>
    <row r="683">
      <c r="K683" s="39"/>
      <c r="L683" s="45"/>
    </row>
    <row r="684">
      <c r="K684" s="39"/>
      <c r="L684" s="45"/>
    </row>
    <row r="685">
      <c r="K685" s="39"/>
      <c r="L685" s="45"/>
    </row>
    <row r="686">
      <c r="K686" s="39"/>
      <c r="L686" s="45"/>
    </row>
    <row r="687">
      <c r="K687" s="39"/>
      <c r="L687" s="45"/>
    </row>
    <row r="688">
      <c r="K688" s="39"/>
      <c r="L688" s="45"/>
    </row>
    <row r="689">
      <c r="K689" s="39"/>
      <c r="L689" s="45"/>
    </row>
    <row r="690">
      <c r="K690" s="39"/>
      <c r="L690" s="45"/>
    </row>
    <row r="691">
      <c r="K691" s="39"/>
      <c r="L691" s="45"/>
    </row>
    <row r="692">
      <c r="K692" s="39"/>
      <c r="L692" s="45"/>
    </row>
    <row r="693">
      <c r="K693" s="39"/>
      <c r="L693" s="45"/>
    </row>
    <row r="694">
      <c r="K694" s="39"/>
      <c r="L694" s="45"/>
    </row>
    <row r="695">
      <c r="K695" s="39"/>
      <c r="L695" s="45"/>
    </row>
    <row r="696">
      <c r="K696" s="39"/>
      <c r="L696" s="45"/>
    </row>
    <row r="697">
      <c r="K697" s="39"/>
      <c r="L697" s="45"/>
    </row>
    <row r="698">
      <c r="K698" s="39"/>
      <c r="L698" s="45"/>
    </row>
    <row r="699">
      <c r="K699" s="39"/>
      <c r="L699" s="45"/>
    </row>
    <row r="700">
      <c r="K700" s="39"/>
      <c r="L700" s="45"/>
    </row>
    <row r="701">
      <c r="K701" s="39"/>
      <c r="L701" s="45"/>
    </row>
    <row r="702">
      <c r="K702" s="39"/>
      <c r="L702" s="45"/>
    </row>
    <row r="703">
      <c r="K703" s="39"/>
      <c r="L703" s="45"/>
    </row>
    <row r="704">
      <c r="K704" s="39"/>
      <c r="L704" s="45"/>
    </row>
    <row r="705">
      <c r="K705" s="39"/>
      <c r="L705" s="45"/>
    </row>
    <row r="706">
      <c r="K706" s="39"/>
      <c r="L706" s="45"/>
    </row>
    <row r="707">
      <c r="K707" s="39"/>
      <c r="L707" s="45"/>
    </row>
    <row r="708">
      <c r="K708" s="39"/>
      <c r="L708" s="45"/>
    </row>
    <row r="709">
      <c r="K709" s="39"/>
      <c r="L709" s="45"/>
    </row>
    <row r="710">
      <c r="K710" s="39"/>
      <c r="L710" s="45"/>
    </row>
    <row r="711">
      <c r="K711" s="39"/>
      <c r="L711" s="45"/>
    </row>
    <row r="712">
      <c r="K712" s="39"/>
      <c r="L712" s="45"/>
    </row>
    <row r="713">
      <c r="K713" s="39"/>
      <c r="L713" s="45"/>
    </row>
    <row r="714">
      <c r="K714" s="39"/>
      <c r="L714" s="45"/>
    </row>
    <row r="715">
      <c r="K715" s="39"/>
      <c r="L715" s="45"/>
    </row>
    <row r="716">
      <c r="K716" s="39"/>
      <c r="L716" s="45"/>
    </row>
    <row r="717">
      <c r="K717" s="39"/>
      <c r="L717" s="45"/>
    </row>
    <row r="718">
      <c r="K718" s="39"/>
      <c r="L718" s="45"/>
    </row>
    <row r="719">
      <c r="K719" s="39"/>
      <c r="L719" s="45"/>
    </row>
    <row r="720">
      <c r="K720" s="39"/>
      <c r="L720" s="45"/>
    </row>
    <row r="721">
      <c r="K721" s="39"/>
      <c r="L721" s="45"/>
    </row>
    <row r="722">
      <c r="K722" s="39"/>
      <c r="L722" s="45"/>
    </row>
    <row r="723">
      <c r="K723" s="39"/>
      <c r="L723" s="45"/>
    </row>
    <row r="724">
      <c r="K724" s="39"/>
      <c r="L724" s="45"/>
    </row>
    <row r="725">
      <c r="K725" s="39"/>
      <c r="L725" s="45"/>
    </row>
    <row r="726">
      <c r="K726" s="39"/>
      <c r="L726" s="45"/>
    </row>
    <row r="727">
      <c r="K727" s="39"/>
      <c r="L727" s="45"/>
    </row>
    <row r="728">
      <c r="K728" s="39"/>
      <c r="L728" s="45"/>
    </row>
    <row r="729">
      <c r="K729" s="39"/>
      <c r="L729" s="45"/>
    </row>
    <row r="730">
      <c r="K730" s="39"/>
      <c r="L730" s="45"/>
    </row>
    <row r="731">
      <c r="K731" s="39"/>
      <c r="L731" s="45"/>
    </row>
    <row r="732">
      <c r="K732" s="39"/>
      <c r="L732" s="45"/>
    </row>
    <row r="733">
      <c r="K733" s="39"/>
      <c r="L733" s="45"/>
    </row>
    <row r="734">
      <c r="K734" s="39"/>
      <c r="L734" s="45"/>
    </row>
    <row r="735">
      <c r="K735" s="39"/>
      <c r="L735" s="45"/>
    </row>
    <row r="736">
      <c r="K736" s="39"/>
      <c r="L736" s="45"/>
    </row>
    <row r="737">
      <c r="K737" s="39"/>
      <c r="L737" s="45"/>
    </row>
    <row r="738">
      <c r="K738" s="39"/>
      <c r="L738" s="45"/>
    </row>
    <row r="739">
      <c r="K739" s="39"/>
      <c r="L739" s="45"/>
    </row>
    <row r="740">
      <c r="K740" s="39"/>
      <c r="L740" s="45"/>
    </row>
    <row r="741">
      <c r="K741" s="39"/>
      <c r="L741" s="45"/>
    </row>
    <row r="742">
      <c r="K742" s="39"/>
      <c r="L742" s="45"/>
    </row>
    <row r="743">
      <c r="K743" s="39"/>
      <c r="L743" s="45"/>
    </row>
    <row r="744">
      <c r="K744" s="39"/>
      <c r="L744" s="45"/>
    </row>
    <row r="745">
      <c r="K745" s="39"/>
      <c r="L745" s="45"/>
    </row>
    <row r="746">
      <c r="K746" s="39"/>
      <c r="L746" s="45"/>
    </row>
    <row r="747">
      <c r="K747" s="39"/>
      <c r="L747" s="45"/>
    </row>
    <row r="748">
      <c r="K748" s="39"/>
      <c r="L748" s="45"/>
    </row>
    <row r="749">
      <c r="K749" s="39"/>
      <c r="L749" s="45"/>
    </row>
    <row r="750">
      <c r="K750" s="39"/>
      <c r="L750" s="45"/>
    </row>
    <row r="751">
      <c r="K751" s="39"/>
      <c r="L751" s="45"/>
    </row>
    <row r="752">
      <c r="K752" s="39"/>
      <c r="L752" s="45"/>
    </row>
    <row r="753">
      <c r="K753" s="39"/>
      <c r="L753" s="45"/>
    </row>
    <row r="754">
      <c r="K754" s="39"/>
      <c r="L754" s="45"/>
    </row>
    <row r="755">
      <c r="K755" s="39"/>
      <c r="L755" s="45"/>
    </row>
    <row r="756">
      <c r="K756" s="39"/>
      <c r="L756" s="45"/>
    </row>
    <row r="757">
      <c r="K757" s="39"/>
      <c r="L757" s="45"/>
    </row>
    <row r="758">
      <c r="K758" s="39"/>
      <c r="L758" s="45"/>
    </row>
    <row r="759">
      <c r="K759" s="39"/>
      <c r="L759" s="45"/>
    </row>
    <row r="760">
      <c r="K760" s="39"/>
      <c r="L760" s="45"/>
    </row>
    <row r="761">
      <c r="K761" s="39"/>
      <c r="L761" s="45"/>
    </row>
    <row r="762">
      <c r="K762" s="39"/>
      <c r="L762" s="45"/>
    </row>
    <row r="763">
      <c r="K763" s="39"/>
      <c r="L763" s="45"/>
    </row>
    <row r="764">
      <c r="K764" s="39"/>
      <c r="L764" s="45"/>
    </row>
    <row r="765">
      <c r="K765" s="39"/>
      <c r="L765" s="45"/>
    </row>
    <row r="766">
      <c r="K766" s="39"/>
      <c r="L766" s="45"/>
    </row>
    <row r="767">
      <c r="K767" s="39"/>
      <c r="L767" s="45"/>
    </row>
    <row r="768">
      <c r="K768" s="39"/>
      <c r="L768" s="45"/>
    </row>
    <row r="769">
      <c r="K769" s="39"/>
      <c r="L769" s="45"/>
    </row>
    <row r="770">
      <c r="K770" s="39"/>
      <c r="L770" s="45"/>
    </row>
    <row r="771">
      <c r="K771" s="39"/>
      <c r="L771" s="45"/>
    </row>
    <row r="772">
      <c r="K772" s="39"/>
      <c r="L772" s="45"/>
    </row>
    <row r="773">
      <c r="K773" s="39"/>
      <c r="L773" s="45"/>
    </row>
    <row r="774">
      <c r="K774" s="39"/>
      <c r="L774" s="45"/>
    </row>
    <row r="775">
      <c r="K775" s="39"/>
      <c r="L775" s="45"/>
    </row>
    <row r="776">
      <c r="K776" s="39"/>
      <c r="L776" s="45"/>
    </row>
    <row r="777">
      <c r="K777" s="39"/>
      <c r="L777" s="45"/>
    </row>
    <row r="778">
      <c r="K778" s="39"/>
      <c r="L778" s="45"/>
    </row>
    <row r="779">
      <c r="K779" s="39"/>
      <c r="L779" s="45"/>
    </row>
    <row r="780">
      <c r="K780" s="39"/>
      <c r="L780" s="45"/>
    </row>
    <row r="781">
      <c r="K781" s="39"/>
      <c r="L781" s="45"/>
    </row>
    <row r="782">
      <c r="K782" s="39"/>
      <c r="L782" s="45"/>
    </row>
    <row r="783">
      <c r="K783" s="39"/>
      <c r="L783" s="45"/>
    </row>
    <row r="784">
      <c r="K784" s="39"/>
      <c r="L784" s="45"/>
    </row>
    <row r="785">
      <c r="K785" s="39"/>
      <c r="L785" s="45"/>
    </row>
    <row r="786">
      <c r="K786" s="39"/>
      <c r="L786" s="45"/>
    </row>
    <row r="787">
      <c r="K787" s="39"/>
      <c r="L787" s="45"/>
    </row>
    <row r="788">
      <c r="K788" s="39"/>
      <c r="L788" s="45"/>
    </row>
    <row r="789">
      <c r="K789" s="39"/>
      <c r="L789" s="45"/>
    </row>
    <row r="790">
      <c r="K790" s="39"/>
      <c r="L790" s="45"/>
    </row>
    <row r="791">
      <c r="K791" s="39"/>
      <c r="L791" s="45"/>
    </row>
    <row r="792">
      <c r="K792" s="39"/>
      <c r="L792" s="45"/>
    </row>
    <row r="793">
      <c r="K793" s="39"/>
      <c r="L793" s="45"/>
    </row>
    <row r="794">
      <c r="K794" s="39"/>
      <c r="L794" s="45"/>
    </row>
    <row r="795">
      <c r="K795" s="39"/>
      <c r="L795" s="45"/>
    </row>
    <row r="796">
      <c r="K796" s="39"/>
      <c r="L796" s="45"/>
    </row>
    <row r="797">
      <c r="K797" s="39"/>
      <c r="L797" s="45"/>
    </row>
    <row r="798">
      <c r="K798" s="39"/>
      <c r="L798" s="45"/>
    </row>
    <row r="799">
      <c r="K799" s="39"/>
      <c r="L799" s="45"/>
    </row>
    <row r="800">
      <c r="K800" s="39"/>
      <c r="L800" s="45"/>
    </row>
    <row r="801">
      <c r="K801" s="39"/>
      <c r="L801" s="45"/>
    </row>
    <row r="802">
      <c r="K802" s="39"/>
      <c r="L802" s="45"/>
    </row>
    <row r="803">
      <c r="K803" s="39"/>
      <c r="L803" s="45"/>
    </row>
    <row r="804">
      <c r="K804" s="39"/>
      <c r="L804" s="45"/>
    </row>
    <row r="805">
      <c r="K805" s="39"/>
      <c r="L805" s="45"/>
    </row>
    <row r="806">
      <c r="K806" s="39"/>
      <c r="L806" s="45"/>
    </row>
    <row r="807">
      <c r="K807" s="39"/>
      <c r="L807" s="45"/>
    </row>
    <row r="808">
      <c r="K808" s="39"/>
      <c r="L808" s="45"/>
    </row>
    <row r="809">
      <c r="K809" s="39"/>
      <c r="L809" s="45"/>
    </row>
    <row r="810">
      <c r="K810" s="39"/>
      <c r="L810" s="45"/>
    </row>
    <row r="811">
      <c r="K811" s="39"/>
      <c r="L811" s="45"/>
    </row>
    <row r="812">
      <c r="K812" s="39"/>
      <c r="L812" s="45"/>
    </row>
    <row r="813">
      <c r="K813" s="39"/>
      <c r="L813" s="45"/>
    </row>
    <row r="814">
      <c r="K814" s="39"/>
      <c r="L814" s="45"/>
    </row>
    <row r="815">
      <c r="K815" s="39"/>
      <c r="L815" s="45"/>
    </row>
    <row r="816">
      <c r="K816" s="39"/>
      <c r="L816" s="45"/>
    </row>
    <row r="817">
      <c r="K817" s="39"/>
      <c r="L817" s="45"/>
    </row>
    <row r="818">
      <c r="K818" s="39"/>
      <c r="L818" s="45"/>
    </row>
    <row r="819">
      <c r="K819" s="39"/>
      <c r="L819" s="45"/>
    </row>
    <row r="820">
      <c r="K820" s="39"/>
      <c r="L820" s="45"/>
    </row>
    <row r="821">
      <c r="K821" s="39"/>
      <c r="L821" s="45"/>
    </row>
    <row r="822">
      <c r="K822" s="39"/>
      <c r="L822" s="45"/>
    </row>
    <row r="823">
      <c r="K823" s="39"/>
      <c r="L823" s="45"/>
    </row>
    <row r="824">
      <c r="K824" s="39"/>
      <c r="L824" s="45"/>
    </row>
    <row r="825">
      <c r="K825" s="39"/>
      <c r="L825" s="45"/>
    </row>
    <row r="826">
      <c r="K826" s="39"/>
      <c r="L826" s="45"/>
    </row>
    <row r="827">
      <c r="K827" s="39"/>
      <c r="L827" s="45"/>
    </row>
    <row r="828">
      <c r="K828" s="39"/>
      <c r="L828" s="45"/>
    </row>
    <row r="829">
      <c r="K829" s="39"/>
      <c r="L829" s="45"/>
    </row>
    <row r="830">
      <c r="K830" s="39"/>
      <c r="L830" s="45"/>
    </row>
    <row r="831">
      <c r="K831" s="39"/>
      <c r="L831" s="45"/>
    </row>
    <row r="832">
      <c r="K832" s="39"/>
      <c r="L832" s="45"/>
    </row>
    <row r="833">
      <c r="K833" s="39"/>
      <c r="L833" s="45"/>
    </row>
    <row r="834">
      <c r="K834" s="39"/>
      <c r="L834" s="45"/>
    </row>
    <row r="835">
      <c r="K835" s="39"/>
      <c r="L835" s="45"/>
    </row>
    <row r="836">
      <c r="K836" s="39"/>
      <c r="L836" s="45"/>
    </row>
    <row r="837">
      <c r="K837" s="39"/>
      <c r="L837" s="45"/>
    </row>
    <row r="838">
      <c r="K838" s="39"/>
      <c r="L838" s="45"/>
    </row>
    <row r="839">
      <c r="K839" s="39"/>
      <c r="L839" s="45"/>
    </row>
    <row r="840">
      <c r="K840" s="39"/>
      <c r="L840" s="45"/>
    </row>
    <row r="841">
      <c r="K841" s="39"/>
      <c r="L841" s="45"/>
    </row>
    <row r="842">
      <c r="K842" s="39"/>
      <c r="L842" s="45"/>
    </row>
    <row r="843">
      <c r="K843" s="39"/>
      <c r="L843" s="45"/>
    </row>
    <row r="844">
      <c r="K844" s="39"/>
      <c r="L844" s="45"/>
    </row>
    <row r="845">
      <c r="K845" s="39"/>
      <c r="L845" s="45"/>
    </row>
    <row r="846">
      <c r="K846" s="39"/>
      <c r="L846" s="45"/>
    </row>
    <row r="847">
      <c r="K847" s="39"/>
      <c r="L847" s="45"/>
    </row>
    <row r="848">
      <c r="K848" s="39"/>
      <c r="L848" s="45"/>
    </row>
    <row r="849">
      <c r="K849" s="39"/>
      <c r="L849" s="45"/>
    </row>
    <row r="850">
      <c r="K850" s="39"/>
      <c r="L850" s="45"/>
    </row>
    <row r="851">
      <c r="K851" s="39"/>
      <c r="L851" s="45"/>
    </row>
    <row r="852">
      <c r="K852" s="39"/>
      <c r="L852" s="45"/>
    </row>
    <row r="853">
      <c r="K853" s="39"/>
      <c r="L853" s="45"/>
    </row>
    <row r="854">
      <c r="K854" s="39"/>
      <c r="L854" s="45"/>
    </row>
    <row r="855">
      <c r="K855" s="39"/>
      <c r="L855" s="45"/>
    </row>
    <row r="856">
      <c r="K856" s="39"/>
      <c r="L856" s="45"/>
    </row>
    <row r="857">
      <c r="K857" s="39"/>
      <c r="L857" s="45"/>
    </row>
    <row r="858">
      <c r="K858" s="39"/>
      <c r="L858" s="45"/>
    </row>
    <row r="859">
      <c r="K859" s="39"/>
      <c r="L859" s="45"/>
    </row>
    <row r="860">
      <c r="K860" s="39"/>
      <c r="L860" s="45"/>
    </row>
    <row r="861">
      <c r="K861" s="39"/>
      <c r="L861" s="45"/>
    </row>
    <row r="862">
      <c r="K862" s="39"/>
      <c r="L862" s="45"/>
    </row>
    <row r="863">
      <c r="K863" s="39"/>
      <c r="L863" s="45"/>
    </row>
    <row r="864">
      <c r="K864" s="39"/>
      <c r="L864" s="45"/>
    </row>
    <row r="865">
      <c r="K865" s="39"/>
      <c r="L865" s="45"/>
    </row>
    <row r="866">
      <c r="K866" s="39"/>
      <c r="L866" s="45"/>
    </row>
    <row r="867">
      <c r="K867" s="39"/>
      <c r="L867" s="45"/>
    </row>
    <row r="868">
      <c r="K868" s="39"/>
      <c r="L868" s="45"/>
    </row>
    <row r="869">
      <c r="K869" s="39"/>
      <c r="L869" s="45"/>
    </row>
    <row r="870">
      <c r="K870" s="39"/>
      <c r="L870" s="45"/>
    </row>
    <row r="871">
      <c r="K871" s="39"/>
      <c r="L871" s="45"/>
    </row>
    <row r="872">
      <c r="K872" s="39"/>
      <c r="L872" s="45"/>
    </row>
    <row r="873">
      <c r="K873" s="39"/>
      <c r="L873" s="45"/>
    </row>
    <row r="874">
      <c r="K874" s="39"/>
      <c r="L874" s="45"/>
    </row>
    <row r="875">
      <c r="K875" s="39"/>
      <c r="L875" s="45"/>
    </row>
    <row r="876">
      <c r="K876" s="39"/>
      <c r="L876" s="45"/>
    </row>
    <row r="877">
      <c r="K877" s="39"/>
      <c r="L877" s="45"/>
    </row>
    <row r="878">
      <c r="K878" s="39"/>
      <c r="L878" s="45"/>
    </row>
    <row r="879">
      <c r="K879" s="39"/>
      <c r="L879" s="45"/>
    </row>
    <row r="880">
      <c r="K880" s="39"/>
      <c r="L880" s="45"/>
    </row>
    <row r="881">
      <c r="K881" s="39"/>
      <c r="L881" s="45"/>
    </row>
    <row r="882">
      <c r="K882" s="39"/>
      <c r="L882" s="45"/>
    </row>
    <row r="883">
      <c r="K883" s="39"/>
      <c r="L883" s="45"/>
    </row>
    <row r="884">
      <c r="K884" s="39"/>
      <c r="L884" s="45"/>
    </row>
    <row r="885">
      <c r="K885" s="39"/>
      <c r="L885" s="45"/>
    </row>
    <row r="886">
      <c r="K886" s="39"/>
      <c r="L886" s="45"/>
    </row>
    <row r="887">
      <c r="K887" s="39"/>
      <c r="L887" s="45"/>
    </row>
    <row r="888">
      <c r="K888" s="39"/>
      <c r="L888" s="45"/>
    </row>
    <row r="889">
      <c r="K889" s="39"/>
      <c r="L889" s="45"/>
    </row>
    <row r="890">
      <c r="K890" s="39"/>
      <c r="L890" s="45"/>
    </row>
    <row r="891">
      <c r="K891" s="39"/>
      <c r="L891" s="45"/>
    </row>
    <row r="892">
      <c r="K892" s="39"/>
      <c r="L892" s="45"/>
    </row>
    <row r="893">
      <c r="K893" s="39"/>
      <c r="L893" s="45"/>
    </row>
    <row r="894">
      <c r="K894" s="39"/>
      <c r="L894" s="45"/>
    </row>
    <row r="895">
      <c r="K895" s="39"/>
      <c r="L895" s="45"/>
    </row>
    <row r="896">
      <c r="K896" s="39"/>
      <c r="L896" s="45"/>
    </row>
    <row r="897">
      <c r="K897" s="39"/>
      <c r="L897" s="45"/>
    </row>
    <row r="898">
      <c r="K898" s="39"/>
      <c r="L898" s="45"/>
    </row>
    <row r="899">
      <c r="K899" s="39"/>
      <c r="L899" s="45"/>
    </row>
    <row r="900">
      <c r="K900" s="39"/>
      <c r="L900" s="45"/>
    </row>
    <row r="901">
      <c r="K901" s="39"/>
      <c r="L901" s="45"/>
    </row>
    <row r="902">
      <c r="K902" s="39"/>
      <c r="L902" s="45"/>
    </row>
    <row r="903">
      <c r="K903" s="39"/>
      <c r="L903" s="45"/>
    </row>
    <row r="904">
      <c r="K904" s="39"/>
      <c r="L904" s="45"/>
    </row>
    <row r="905">
      <c r="K905" s="39"/>
      <c r="L905" s="45"/>
    </row>
    <row r="906">
      <c r="K906" s="39"/>
      <c r="L906" s="45"/>
    </row>
    <row r="907">
      <c r="K907" s="39"/>
      <c r="L907" s="45"/>
    </row>
    <row r="908">
      <c r="K908" s="39"/>
      <c r="L908" s="45"/>
    </row>
    <row r="909">
      <c r="K909" s="39"/>
      <c r="L909" s="45"/>
    </row>
    <row r="910">
      <c r="K910" s="39"/>
      <c r="L910" s="45"/>
    </row>
    <row r="911">
      <c r="K911" s="39"/>
      <c r="L911" s="45"/>
    </row>
    <row r="912">
      <c r="K912" s="39"/>
      <c r="L912" s="45"/>
    </row>
    <row r="913">
      <c r="K913" s="39"/>
      <c r="L913" s="45"/>
    </row>
    <row r="914">
      <c r="K914" s="39"/>
      <c r="L914" s="45"/>
    </row>
    <row r="915">
      <c r="K915" s="39"/>
      <c r="L915" s="45"/>
    </row>
    <row r="916">
      <c r="K916" s="39"/>
      <c r="L916" s="45"/>
    </row>
    <row r="917">
      <c r="K917" s="39"/>
      <c r="L917" s="45"/>
    </row>
    <row r="918">
      <c r="K918" s="39"/>
      <c r="L918" s="45"/>
    </row>
    <row r="919">
      <c r="K919" s="39"/>
      <c r="L919" s="45"/>
    </row>
    <row r="920">
      <c r="K920" s="39"/>
      <c r="L920" s="45"/>
    </row>
    <row r="921">
      <c r="K921" s="39"/>
      <c r="L921" s="45"/>
    </row>
    <row r="922">
      <c r="K922" s="39"/>
      <c r="L922" s="45"/>
    </row>
    <row r="923">
      <c r="K923" s="39"/>
      <c r="L923" s="45"/>
    </row>
    <row r="924">
      <c r="K924" s="39"/>
      <c r="L924" s="45"/>
    </row>
    <row r="925">
      <c r="K925" s="39"/>
      <c r="L925" s="45"/>
    </row>
    <row r="926">
      <c r="K926" s="39"/>
      <c r="L926" s="45"/>
    </row>
    <row r="927">
      <c r="K927" s="39"/>
      <c r="L927" s="45"/>
    </row>
    <row r="928">
      <c r="K928" s="39"/>
      <c r="L928" s="45"/>
    </row>
    <row r="929">
      <c r="K929" s="39"/>
      <c r="L929" s="45"/>
    </row>
    <row r="930">
      <c r="K930" s="39"/>
      <c r="L930" s="45"/>
    </row>
    <row r="931">
      <c r="K931" s="39"/>
      <c r="L931" s="45"/>
    </row>
    <row r="932">
      <c r="K932" s="39"/>
      <c r="L932" s="45"/>
    </row>
    <row r="933">
      <c r="K933" s="39"/>
      <c r="L933" s="45"/>
    </row>
    <row r="934">
      <c r="K934" s="39"/>
      <c r="L934" s="45"/>
    </row>
    <row r="935">
      <c r="K935" s="39"/>
      <c r="L935" s="45"/>
    </row>
    <row r="936">
      <c r="K936" s="39"/>
      <c r="L936" s="45"/>
    </row>
    <row r="937">
      <c r="K937" s="39"/>
      <c r="L937" s="45"/>
    </row>
    <row r="938">
      <c r="K938" s="39"/>
      <c r="L938" s="45"/>
    </row>
    <row r="939">
      <c r="K939" s="39"/>
      <c r="L939" s="45"/>
    </row>
    <row r="940">
      <c r="K940" s="39"/>
      <c r="L940" s="45"/>
    </row>
    <row r="941">
      <c r="K941" s="39"/>
      <c r="L941" s="45"/>
    </row>
    <row r="942">
      <c r="K942" s="39"/>
      <c r="L942" s="45"/>
    </row>
    <row r="943">
      <c r="K943" s="39"/>
      <c r="L943" s="45"/>
    </row>
    <row r="944">
      <c r="K944" s="39"/>
      <c r="L944" s="45"/>
    </row>
    <row r="945">
      <c r="K945" s="39"/>
      <c r="L945" s="45"/>
    </row>
    <row r="946">
      <c r="K946" s="39"/>
      <c r="L946" s="45"/>
    </row>
    <row r="947">
      <c r="K947" s="39"/>
      <c r="L947" s="45"/>
    </row>
    <row r="948">
      <c r="K948" s="39"/>
      <c r="L948" s="45"/>
    </row>
    <row r="949">
      <c r="K949" s="39"/>
      <c r="L949" s="45"/>
    </row>
    <row r="950">
      <c r="K950" s="39"/>
      <c r="L950" s="45"/>
    </row>
    <row r="951">
      <c r="K951" s="39"/>
      <c r="L951" s="45"/>
    </row>
    <row r="952">
      <c r="K952" s="39"/>
      <c r="L952" s="45"/>
    </row>
    <row r="953">
      <c r="K953" s="39"/>
      <c r="L953" s="45"/>
    </row>
    <row r="954">
      <c r="K954" s="39"/>
      <c r="L954" s="45"/>
    </row>
    <row r="955">
      <c r="K955" s="39"/>
      <c r="L955" s="45"/>
    </row>
    <row r="956">
      <c r="K956" s="39"/>
      <c r="L956" s="45"/>
    </row>
    <row r="957">
      <c r="K957" s="39"/>
      <c r="L957" s="45"/>
    </row>
    <row r="958">
      <c r="K958" s="39"/>
      <c r="L958" s="45"/>
    </row>
    <row r="959">
      <c r="K959" s="39"/>
      <c r="L959" s="45"/>
    </row>
    <row r="960">
      <c r="K960" s="39"/>
      <c r="L960" s="45"/>
    </row>
    <row r="961">
      <c r="K961" s="39"/>
      <c r="L961" s="45"/>
    </row>
    <row r="962">
      <c r="K962" s="39"/>
      <c r="L962" s="45"/>
    </row>
    <row r="963">
      <c r="K963" s="39"/>
      <c r="L963" s="45"/>
    </row>
    <row r="964">
      <c r="K964" s="39"/>
      <c r="L964" s="45"/>
    </row>
    <row r="965">
      <c r="K965" s="39"/>
      <c r="L965" s="45"/>
    </row>
    <row r="966">
      <c r="K966" s="39"/>
      <c r="L966" s="45"/>
    </row>
    <row r="967">
      <c r="K967" s="39"/>
      <c r="L967" s="45"/>
    </row>
    <row r="968">
      <c r="K968" s="39"/>
      <c r="L968" s="45"/>
    </row>
    <row r="969">
      <c r="K969" s="39"/>
      <c r="L969" s="45"/>
    </row>
    <row r="970">
      <c r="K970" s="39"/>
      <c r="L970" s="45"/>
    </row>
    <row r="971">
      <c r="K971" s="39"/>
      <c r="L971" s="45"/>
    </row>
    <row r="972">
      <c r="K972" s="39"/>
      <c r="L972" s="45"/>
    </row>
    <row r="973">
      <c r="K973" s="39"/>
      <c r="L973" s="45"/>
    </row>
    <row r="974">
      <c r="K974" s="39"/>
      <c r="L974" s="45"/>
    </row>
    <row r="975">
      <c r="K975" s="39"/>
      <c r="L975" s="45"/>
    </row>
    <row r="976">
      <c r="K976" s="39"/>
      <c r="L976" s="45"/>
    </row>
    <row r="977">
      <c r="K977" s="39"/>
      <c r="L977" s="45"/>
    </row>
    <row r="978">
      <c r="K978" s="39"/>
      <c r="L978" s="45"/>
    </row>
    <row r="979">
      <c r="K979" s="39"/>
      <c r="L979" s="45"/>
    </row>
    <row r="980">
      <c r="K980" s="39"/>
      <c r="L980" s="45"/>
    </row>
    <row r="981">
      <c r="K981" s="39"/>
      <c r="L981" s="45"/>
    </row>
    <row r="982">
      <c r="K982" s="39"/>
      <c r="L982" s="45"/>
    </row>
    <row r="983">
      <c r="K983" s="39"/>
      <c r="L983" s="45"/>
    </row>
    <row r="984">
      <c r="K984" s="39"/>
      <c r="L984" s="45"/>
    </row>
    <row r="985">
      <c r="K985" s="39"/>
      <c r="L985" s="45"/>
    </row>
    <row r="986">
      <c r="K986" s="39"/>
      <c r="L986" s="45"/>
    </row>
    <row r="987">
      <c r="K987" s="39"/>
      <c r="L987" s="45"/>
    </row>
    <row r="988">
      <c r="K988" s="39"/>
      <c r="L988" s="45"/>
    </row>
    <row r="989">
      <c r="K989" s="39"/>
      <c r="L989" s="45"/>
    </row>
    <row r="990">
      <c r="K990" s="39"/>
      <c r="L990" s="45"/>
    </row>
    <row r="991">
      <c r="K991" s="39"/>
      <c r="L991" s="45"/>
    </row>
    <row r="992">
      <c r="K992" s="39"/>
      <c r="L992" s="45"/>
    </row>
    <row r="993">
      <c r="K993" s="39"/>
      <c r="L993" s="45"/>
    </row>
    <row r="994">
      <c r="K994" s="39"/>
      <c r="L994" s="45"/>
    </row>
    <row r="995">
      <c r="K995" s="39"/>
      <c r="L995" s="45"/>
    </row>
    <row r="996">
      <c r="K996" s="39"/>
      <c r="L996" s="45"/>
    </row>
    <row r="997">
      <c r="K997" s="39"/>
      <c r="L997" s="45"/>
    </row>
    <row r="998">
      <c r="K998" s="39"/>
      <c r="L998" s="45"/>
    </row>
    <row r="999">
      <c r="K999" s="39"/>
      <c r="L999" s="45"/>
    </row>
    <row r="1000">
      <c r="K1000" s="39"/>
      <c r="L1000" s="45"/>
    </row>
    <row r="1001">
      <c r="K1001" s="39"/>
      <c r="L1001" s="45"/>
    </row>
    <row r="1002">
      <c r="K1002" s="39"/>
      <c r="L1002" s="45"/>
    </row>
    <row r="1003">
      <c r="K1003" s="39"/>
      <c r="L1003" s="45"/>
    </row>
    <row r="1004">
      <c r="K1004" s="39"/>
      <c r="L1004" s="45"/>
    </row>
    <row r="1005">
      <c r="K1005" s="39"/>
      <c r="L1005" s="45"/>
    </row>
    <row r="1006">
      <c r="K1006" s="39"/>
      <c r="L1006" s="45"/>
    </row>
    <row r="1007">
      <c r="K1007" s="39"/>
      <c r="L1007" s="45"/>
    </row>
    <row r="1008">
      <c r="K1008" s="39"/>
      <c r="L1008" s="45"/>
    </row>
    <row r="1009">
      <c r="K1009" s="39"/>
      <c r="L1009" s="45"/>
    </row>
    <row r="1010">
      <c r="K1010" s="39"/>
      <c r="L1010" s="45"/>
    </row>
    <row r="1011">
      <c r="K1011" s="39"/>
      <c r="L1011" s="45"/>
    </row>
    <row r="1012">
      <c r="K1012" s="39"/>
      <c r="L1012" s="45"/>
    </row>
    <row r="1013">
      <c r="K1013" s="39"/>
      <c r="L1013" s="45"/>
    </row>
    <row r="1014">
      <c r="K1014" s="39"/>
      <c r="L1014" s="45"/>
    </row>
    <row r="1015">
      <c r="K1015" s="39"/>
      <c r="L1015" s="45"/>
    </row>
  </sheetData>
  <dataValidations>
    <dataValidation type="list" allowBlank="1" showInputMessage="1" prompt="Haz clic e introduce un valor de intervalo 'General Taggs'!C2:C32" sqref="Q10:Q11 H2:H19 Q21:Q39 H21:H48 Q50:Q73 H50:H81 Q83:Q103 H83:H112 Q114:Q123 H114:H128 Q130:Q141 H130:H147 Q149:Q151 H149:H152 Q154:Q160 H154:H164 Q166:Q174 H166:H177 Q179:Q181 H179:H182 Q184:Q198 H184:H205 Q207:Q213 H207:H215 Q217:Q226 H217:H231 Q233:Q242 H233:H245 Q250:Q257 H250:H262 Q267:Q274 H267:H282 Q284:Q291 H284:H299 Q301:Q303 H301:H304 Q306:Q319 H306:H330 Q332:Q342 H333:H343 Q345:Q349 H345:H353 Q355:Q367 H355:H370">
      <formula1>'General Tags'!$D$2:$D$32</formula1>
    </dataValidation>
    <dataValidation type="list" allowBlank="1" showInputMessage="1" showErrorMessage="1" prompt="Please, first add the SE task in the General tags page in column E" sqref="R10:R11 I2:I19 R21:R39 I21:I48 R50:R73 I50:I81 R83:R103 I83:I112 R114:R123 I114:I128 R130:R141 I130:I147 R149:R151 I149:I152 R154:R160 I154:I164 R166:R174 I166:I177 R179:R181 I179:I182 R184:R198 I184:I205 R207:R213 I207:I215 R217:R226 I217:I231 R233:R242 I233:I245 R250:R257 I250:I262 R267:R274 I267:I282 R284:R291 I284:I299 R301:R303 I301:I304 R306:R319 I306:I330 R332:R342 I333:I343 R345:R349 I345:I353 R355:R367 I355:I370">
      <formula1>'General Tags'!$F$2:$F$295</formula1>
    </dataValidation>
  </dataValidations>
  <hyperlinks>
    <hyperlink r:id="rId1" ref="F10"/>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88"/>
    <col hidden="1" min="2" max="2" width="12.63"/>
    <col customWidth="1" min="4" max="4" width="5.25"/>
    <col customWidth="1" min="5" max="5" width="19.38"/>
    <col customWidth="1" min="6" max="6" width="38.5"/>
    <col customWidth="1" min="7" max="7" width="46.13"/>
    <col customWidth="1" min="8" max="8" width="26.88"/>
    <col customWidth="1" min="9" max="9" width="23.0"/>
    <col customWidth="1" min="10" max="10" width="24.25"/>
    <col customWidth="1" min="11" max="11" width="3.75"/>
    <col customWidth="1" min="12" max="12" width="1.25"/>
    <col customWidth="1" min="13" max="13" width="8.75"/>
    <col customWidth="1" min="14" max="14" width="22.0"/>
    <col customWidth="1" min="16" max="16" width="61.63"/>
    <col customWidth="1" min="17" max="17" width="31.63"/>
    <col customWidth="1" min="18" max="18" width="18.13"/>
    <col customWidth="1" min="19" max="19" width="19.75"/>
  </cols>
  <sheetData>
    <row r="1">
      <c r="A1" s="1" t="s">
        <v>0</v>
      </c>
      <c r="B1" s="1" t="s">
        <v>2234</v>
      </c>
      <c r="C1" s="14" t="s">
        <v>2235</v>
      </c>
      <c r="D1" s="3" t="s">
        <v>2571</v>
      </c>
      <c r="E1" s="3" t="s">
        <v>2</v>
      </c>
      <c r="F1" s="4" t="s">
        <v>3</v>
      </c>
      <c r="G1" s="37" t="s">
        <v>4</v>
      </c>
      <c r="H1" s="6" t="s">
        <v>5</v>
      </c>
      <c r="I1" s="38" t="s">
        <v>6</v>
      </c>
      <c r="J1" s="38" t="s">
        <v>7</v>
      </c>
      <c r="L1" s="39"/>
      <c r="M1" s="2" t="s">
        <v>1</v>
      </c>
      <c r="N1" s="3" t="s">
        <v>2</v>
      </c>
      <c r="O1" s="4" t="s">
        <v>3</v>
      </c>
      <c r="P1" s="37" t="s">
        <v>4</v>
      </c>
      <c r="Q1" s="6" t="s">
        <v>5</v>
      </c>
      <c r="R1" s="38" t="s">
        <v>6</v>
      </c>
      <c r="S1" s="38" t="s">
        <v>7</v>
      </c>
    </row>
    <row r="2">
      <c r="A2" s="27" t="s">
        <v>722</v>
      </c>
      <c r="C2" s="1" t="s">
        <v>2572</v>
      </c>
      <c r="D2" s="1">
        <v>1.0</v>
      </c>
      <c r="E2" s="1" t="s">
        <v>724</v>
      </c>
      <c r="F2" s="1" t="s">
        <v>503</v>
      </c>
      <c r="G2" s="1" t="s">
        <v>2573</v>
      </c>
      <c r="H2" s="1" t="s">
        <v>2574</v>
      </c>
      <c r="I2" s="1" t="s">
        <v>39</v>
      </c>
      <c r="J2" s="1" t="s">
        <v>728</v>
      </c>
      <c r="M2" s="28" t="s">
        <v>723</v>
      </c>
      <c r="N2" s="55" t="s">
        <v>724</v>
      </c>
      <c r="O2" s="35" t="s">
        <v>725</v>
      </c>
      <c r="P2" s="55" t="s">
        <v>726</v>
      </c>
      <c r="Q2" s="1" t="s">
        <v>727</v>
      </c>
      <c r="R2" s="35" t="s">
        <v>39</v>
      </c>
      <c r="S2" s="1" t="s">
        <v>728</v>
      </c>
    </row>
    <row r="3">
      <c r="A3" s="27" t="s">
        <v>722</v>
      </c>
      <c r="C3" s="1" t="s">
        <v>2572</v>
      </c>
      <c r="D3" s="1">
        <v>2.0</v>
      </c>
      <c r="E3" s="1" t="s">
        <v>730</v>
      </c>
      <c r="F3" s="1" t="s">
        <v>503</v>
      </c>
      <c r="G3" s="1" t="s">
        <v>2575</v>
      </c>
      <c r="H3" s="1" t="s">
        <v>2576</v>
      </c>
      <c r="I3" s="1" t="s">
        <v>54</v>
      </c>
      <c r="J3" s="1" t="s">
        <v>728</v>
      </c>
      <c r="M3" s="28" t="s">
        <v>2577</v>
      </c>
      <c r="N3" s="17" t="s">
        <v>730</v>
      </c>
      <c r="O3" s="35" t="s">
        <v>725</v>
      </c>
      <c r="P3" s="55" t="s">
        <v>2578</v>
      </c>
      <c r="Q3" s="35" t="s">
        <v>732</v>
      </c>
      <c r="R3" s="35" t="s">
        <v>39</v>
      </c>
      <c r="S3" s="1" t="s">
        <v>728</v>
      </c>
    </row>
    <row r="4">
      <c r="A4" s="27" t="s">
        <v>722</v>
      </c>
      <c r="C4" s="1" t="s">
        <v>2572</v>
      </c>
      <c r="D4" s="1">
        <v>3.0</v>
      </c>
      <c r="E4" s="1" t="s">
        <v>734</v>
      </c>
      <c r="F4" s="1" t="s">
        <v>503</v>
      </c>
      <c r="G4" s="1" t="s">
        <v>735</v>
      </c>
      <c r="H4" s="1" t="s">
        <v>2579</v>
      </c>
      <c r="I4" s="1" t="s">
        <v>54</v>
      </c>
      <c r="J4" s="1" t="s">
        <v>728</v>
      </c>
      <c r="M4" s="28" t="s">
        <v>729</v>
      </c>
      <c r="N4" s="17" t="s">
        <v>730</v>
      </c>
      <c r="O4" s="35" t="s">
        <v>725</v>
      </c>
      <c r="P4" s="17" t="s">
        <v>2580</v>
      </c>
      <c r="Q4" s="35" t="s">
        <v>732</v>
      </c>
      <c r="R4" s="35" t="s">
        <v>39</v>
      </c>
      <c r="S4" s="1" t="s">
        <v>728</v>
      </c>
    </row>
    <row r="5">
      <c r="A5" s="27" t="s">
        <v>722</v>
      </c>
      <c r="C5" s="1" t="s">
        <v>2572</v>
      </c>
      <c r="D5" s="1">
        <v>4.0</v>
      </c>
      <c r="E5" s="1" t="s">
        <v>738</v>
      </c>
      <c r="F5" s="1" t="s">
        <v>739</v>
      </c>
      <c r="G5" s="1" t="s">
        <v>740</v>
      </c>
      <c r="H5" s="1" t="s">
        <v>2581</v>
      </c>
      <c r="I5" s="1" t="s">
        <v>44</v>
      </c>
      <c r="J5" s="1" t="s">
        <v>728</v>
      </c>
      <c r="M5" s="28" t="s">
        <v>2582</v>
      </c>
      <c r="N5" s="17" t="s">
        <v>734</v>
      </c>
      <c r="O5" s="35" t="s">
        <v>725</v>
      </c>
      <c r="P5" s="35" t="s">
        <v>2583</v>
      </c>
      <c r="Q5" s="35" t="s">
        <v>732</v>
      </c>
      <c r="R5" s="35" t="s">
        <v>54</v>
      </c>
      <c r="S5" s="1" t="s">
        <v>728</v>
      </c>
    </row>
    <row r="6">
      <c r="A6" s="27" t="s">
        <v>722</v>
      </c>
      <c r="C6" s="1" t="s">
        <v>2572</v>
      </c>
      <c r="D6" s="1">
        <v>5.0</v>
      </c>
      <c r="E6" s="1" t="s">
        <v>738</v>
      </c>
      <c r="F6" s="1" t="s">
        <v>743</v>
      </c>
      <c r="G6" s="1" t="s">
        <v>744</v>
      </c>
      <c r="H6" s="1"/>
      <c r="I6" s="1" t="s">
        <v>39</v>
      </c>
      <c r="J6" s="1" t="s">
        <v>728</v>
      </c>
      <c r="M6" s="28" t="s">
        <v>2584</v>
      </c>
      <c r="N6" s="1" t="s">
        <v>734</v>
      </c>
      <c r="O6" s="1" t="s">
        <v>503</v>
      </c>
      <c r="P6" s="1" t="s">
        <v>735</v>
      </c>
      <c r="Q6" s="1" t="s">
        <v>2579</v>
      </c>
      <c r="R6" s="1" t="s">
        <v>39</v>
      </c>
      <c r="S6" s="1" t="s">
        <v>728</v>
      </c>
    </row>
    <row r="7">
      <c r="A7" s="27" t="s">
        <v>722</v>
      </c>
      <c r="C7" s="1" t="s">
        <v>2572</v>
      </c>
      <c r="D7" s="1">
        <v>6.0</v>
      </c>
      <c r="E7" s="1" t="s">
        <v>747</v>
      </c>
      <c r="F7" s="1" t="s">
        <v>748</v>
      </c>
      <c r="G7" s="1" t="s">
        <v>2585</v>
      </c>
      <c r="H7" s="1" t="s">
        <v>2586</v>
      </c>
      <c r="I7" s="1" t="s">
        <v>39</v>
      </c>
      <c r="J7" s="1" t="s">
        <v>728</v>
      </c>
      <c r="M7" s="28" t="s">
        <v>839</v>
      </c>
      <c r="N7" s="1" t="s">
        <v>738</v>
      </c>
      <c r="O7" s="1" t="s">
        <v>739</v>
      </c>
      <c r="P7" s="1" t="s">
        <v>740</v>
      </c>
      <c r="Q7" s="1" t="s">
        <v>2581</v>
      </c>
      <c r="R7" s="1" t="s">
        <v>44</v>
      </c>
      <c r="S7" s="1" t="s">
        <v>728</v>
      </c>
    </row>
    <row r="8">
      <c r="A8" s="27" t="s">
        <v>722</v>
      </c>
      <c r="C8" s="1" t="s">
        <v>2572</v>
      </c>
      <c r="D8" s="1">
        <v>7.0</v>
      </c>
      <c r="E8" s="1" t="s">
        <v>747</v>
      </c>
      <c r="F8" s="1" t="s">
        <v>748</v>
      </c>
      <c r="G8" s="1" t="s">
        <v>2587</v>
      </c>
      <c r="H8" s="1" t="s">
        <v>2588</v>
      </c>
      <c r="I8" s="1" t="s">
        <v>39</v>
      </c>
      <c r="J8" s="1" t="s">
        <v>728</v>
      </c>
      <c r="M8" s="28" t="s">
        <v>742</v>
      </c>
      <c r="N8" s="1" t="s">
        <v>738</v>
      </c>
      <c r="O8" s="1" t="s">
        <v>743</v>
      </c>
      <c r="P8" s="1" t="s">
        <v>744</v>
      </c>
      <c r="R8" s="1" t="s">
        <v>39</v>
      </c>
      <c r="S8" s="1" t="s">
        <v>728</v>
      </c>
    </row>
    <row r="9">
      <c r="A9" s="27" t="s">
        <v>722</v>
      </c>
      <c r="C9" s="1" t="s">
        <v>2572</v>
      </c>
      <c r="D9" s="1">
        <v>8.0</v>
      </c>
      <c r="E9" s="1" t="s">
        <v>755</v>
      </c>
      <c r="F9" s="1" t="s">
        <v>739</v>
      </c>
      <c r="G9" s="1" t="s">
        <v>756</v>
      </c>
      <c r="H9" s="1" t="s">
        <v>757</v>
      </c>
      <c r="I9" s="1" t="s">
        <v>39</v>
      </c>
      <c r="J9" s="1" t="s">
        <v>728</v>
      </c>
      <c r="M9" s="28" t="s">
        <v>746</v>
      </c>
      <c r="N9" s="1" t="s">
        <v>747</v>
      </c>
      <c r="O9" s="1" t="s">
        <v>748</v>
      </c>
      <c r="P9" s="35" t="s">
        <v>749</v>
      </c>
      <c r="Q9" s="17" t="s">
        <v>750</v>
      </c>
      <c r="R9" s="17" t="s">
        <v>39</v>
      </c>
      <c r="S9" s="1" t="s">
        <v>728</v>
      </c>
      <c r="T9" s="1" t="s">
        <v>2589</v>
      </c>
    </row>
    <row r="10">
      <c r="A10" s="27" t="s">
        <v>722</v>
      </c>
      <c r="C10" s="1" t="s">
        <v>2572</v>
      </c>
      <c r="D10" s="1">
        <v>9.0</v>
      </c>
      <c r="E10" s="1" t="s">
        <v>764</v>
      </c>
      <c r="F10" s="1" t="s">
        <v>765</v>
      </c>
      <c r="G10" s="1" t="s">
        <v>766</v>
      </c>
      <c r="H10" s="1" t="s">
        <v>767</v>
      </c>
      <c r="I10" s="1" t="s">
        <v>39</v>
      </c>
      <c r="J10" s="1" t="s">
        <v>728</v>
      </c>
      <c r="M10" s="28" t="s">
        <v>751</v>
      </c>
      <c r="N10" s="1" t="s">
        <v>747</v>
      </c>
      <c r="O10" s="1" t="s">
        <v>748</v>
      </c>
      <c r="P10" s="17" t="s">
        <v>752</v>
      </c>
      <c r="Q10" s="17" t="s">
        <v>2590</v>
      </c>
      <c r="R10" s="17" t="s">
        <v>39</v>
      </c>
      <c r="S10" s="1" t="s">
        <v>728</v>
      </c>
    </row>
    <row r="11">
      <c r="A11" s="27" t="s">
        <v>722</v>
      </c>
      <c r="C11" s="1" t="s">
        <v>2572</v>
      </c>
      <c r="D11" s="1">
        <v>10.0</v>
      </c>
      <c r="E11" s="1" t="s">
        <v>769</v>
      </c>
      <c r="F11" s="1" t="s">
        <v>770</v>
      </c>
      <c r="G11" s="1" t="s">
        <v>2591</v>
      </c>
      <c r="H11" s="1" t="s">
        <v>2592</v>
      </c>
      <c r="I11" s="1" t="s">
        <v>39</v>
      </c>
      <c r="J11" s="1" t="s">
        <v>728</v>
      </c>
      <c r="M11" s="28" t="s">
        <v>754</v>
      </c>
      <c r="N11" s="1" t="s">
        <v>755</v>
      </c>
      <c r="O11" s="1" t="s">
        <v>739</v>
      </c>
      <c r="P11" s="1" t="s">
        <v>756</v>
      </c>
      <c r="Q11" s="1" t="s">
        <v>757</v>
      </c>
      <c r="R11" s="1" t="s">
        <v>39</v>
      </c>
      <c r="S11" s="1" t="s">
        <v>728</v>
      </c>
    </row>
    <row r="12">
      <c r="A12" s="27" t="s">
        <v>722</v>
      </c>
      <c r="C12" s="1" t="s">
        <v>2572</v>
      </c>
      <c r="D12" s="1">
        <v>11.0</v>
      </c>
      <c r="E12" s="1" t="s">
        <v>769</v>
      </c>
      <c r="F12" s="1" t="s">
        <v>770</v>
      </c>
      <c r="G12" s="1" t="s">
        <v>771</v>
      </c>
      <c r="H12" s="1" t="s">
        <v>772</v>
      </c>
      <c r="I12" s="1" t="s">
        <v>39</v>
      </c>
      <c r="J12" s="1" t="s">
        <v>728</v>
      </c>
      <c r="M12" s="63" t="s">
        <v>758</v>
      </c>
      <c r="N12" s="64" t="s">
        <v>759</v>
      </c>
      <c r="O12" s="64" t="s">
        <v>760</v>
      </c>
      <c r="P12" s="64" t="s">
        <v>761</v>
      </c>
      <c r="Q12" s="64" t="s">
        <v>2593</v>
      </c>
      <c r="R12" s="64" t="s">
        <v>39</v>
      </c>
      <c r="S12" s="65" t="s">
        <v>728</v>
      </c>
      <c r="T12" s="1" t="s">
        <v>2594</v>
      </c>
    </row>
    <row r="13">
      <c r="A13" s="27" t="s">
        <v>722</v>
      </c>
      <c r="C13" s="1" t="s">
        <v>2250</v>
      </c>
      <c r="D13" s="1">
        <v>12.0</v>
      </c>
      <c r="E13" s="17" t="s">
        <v>774</v>
      </c>
      <c r="F13" s="17" t="s">
        <v>33</v>
      </c>
      <c r="G13" s="66" t="s">
        <v>775</v>
      </c>
      <c r="H13" s="22"/>
      <c r="I13" s="17" t="s">
        <v>44</v>
      </c>
      <c r="J13" s="1" t="s">
        <v>728</v>
      </c>
      <c r="M13" s="28" t="s">
        <v>763</v>
      </c>
      <c r="N13" s="1" t="s">
        <v>764</v>
      </c>
      <c r="O13" s="1" t="s">
        <v>765</v>
      </c>
      <c r="P13" s="1" t="s">
        <v>766</v>
      </c>
      <c r="Q13" s="1" t="s">
        <v>767</v>
      </c>
      <c r="R13" s="1" t="s">
        <v>39</v>
      </c>
      <c r="S13" s="1" t="s">
        <v>728</v>
      </c>
    </row>
    <row r="14">
      <c r="A14" s="27" t="s">
        <v>722</v>
      </c>
      <c r="C14" s="1" t="s">
        <v>2250</v>
      </c>
      <c r="D14" s="1">
        <v>13.0</v>
      </c>
      <c r="E14" s="17" t="s">
        <v>774</v>
      </c>
      <c r="F14" s="17" t="s">
        <v>2595</v>
      </c>
      <c r="G14" s="17" t="s">
        <v>2596</v>
      </c>
      <c r="H14" s="17" t="s">
        <v>2597</v>
      </c>
      <c r="I14" s="17" t="s">
        <v>91</v>
      </c>
      <c r="J14" s="1" t="s">
        <v>728</v>
      </c>
      <c r="M14" s="28" t="s">
        <v>2598</v>
      </c>
      <c r="N14" s="1" t="s">
        <v>769</v>
      </c>
      <c r="O14" s="1" t="s">
        <v>770</v>
      </c>
      <c r="P14" s="1" t="s">
        <v>2591</v>
      </c>
      <c r="Q14" s="1" t="s">
        <v>2592</v>
      </c>
      <c r="R14" s="1" t="s">
        <v>39</v>
      </c>
      <c r="S14" s="1" t="s">
        <v>728</v>
      </c>
    </row>
    <row r="15">
      <c r="A15" s="27" t="s">
        <v>722</v>
      </c>
      <c r="C15" s="1" t="s">
        <v>2250</v>
      </c>
      <c r="D15" s="1">
        <v>14.0</v>
      </c>
      <c r="E15" s="17" t="s">
        <v>724</v>
      </c>
      <c r="F15" s="17" t="s">
        <v>760</v>
      </c>
      <c r="G15" s="17" t="s">
        <v>2599</v>
      </c>
      <c r="H15" s="17" t="s">
        <v>2600</v>
      </c>
      <c r="I15" s="17" t="s">
        <v>39</v>
      </c>
      <c r="J15" s="1" t="s">
        <v>728</v>
      </c>
      <c r="M15" s="28" t="s">
        <v>768</v>
      </c>
      <c r="N15" s="1" t="s">
        <v>769</v>
      </c>
      <c r="O15" s="1" t="s">
        <v>770</v>
      </c>
      <c r="P15" s="1" t="s">
        <v>771</v>
      </c>
      <c r="Q15" s="1" t="s">
        <v>772</v>
      </c>
      <c r="R15" s="1" t="s">
        <v>39</v>
      </c>
      <c r="S15" s="1" t="s">
        <v>728</v>
      </c>
    </row>
    <row r="16">
      <c r="A16" s="27" t="s">
        <v>722</v>
      </c>
      <c r="C16" s="1" t="s">
        <v>2250</v>
      </c>
      <c r="D16" s="1">
        <v>15.0</v>
      </c>
      <c r="E16" s="17" t="s">
        <v>730</v>
      </c>
      <c r="F16" s="17" t="s">
        <v>2601</v>
      </c>
      <c r="G16" s="17" t="s">
        <v>2602</v>
      </c>
      <c r="H16" s="17" t="s">
        <v>2603</v>
      </c>
      <c r="I16" s="17" t="s">
        <v>91</v>
      </c>
      <c r="J16" s="1" t="s">
        <v>728</v>
      </c>
      <c r="M16" s="28" t="s">
        <v>773</v>
      </c>
      <c r="N16" s="17" t="s">
        <v>774</v>
      </c>
      <c r="O16" s="17" t="s">
        <v>33</v>
      </c>
      <c r="P16" s="66" t="s">
        <v>775</v>
      </c>
      <c r="Q16" s="22"/>
      <c r="R16" s="17" t="s">
        <v>44</v>
      </c>
      <c r="S16" s="1" t="s">
        <v>728</v>
      </c>
    </row>
    <row r="17">
      <c r="A17" s="27" t="s">
        <v>722</v>
      </c>
      <c r="C17" s="1" t="s">
        <v>2250</v>
      </c>
      <c r="D17" s="1">
        <v>16.0</v>
      </c>
      <c r="E17" s="17" t="s">
        <v>730</v>
      </c>
      <c r="F17" s="17" t="s">
        <v>760</v>
      </c>
      <c r="G17" s="17" t="s">
        <v>2604</v>
      </c>
      <c r="H17" s="17" t="s">
        <v>2603</v>
      </c>
      <c r="I17" s="17" t="s">
        <v>39</v>
      </c>
      <c r="J17" s="1" t="s">
        <v>728</v>
      </c>
      <c r="M17" s="28" t="s">
        <v>776</v>
      </c>
      <c r="N17" s="17" t="s">
        <v>730</v>
      </c>
      <c r="O17" s="17" t="s">
        <v>777</v>
      </c>
      <c r="P17" s="17" t="s">
        <v>778</v>
      </c>
      <c r="Q17" s="17" t="s">
        <v>786</v>
      </c>
      <c r="R17" s="17" t="s">
        <v>91</v>
      </c>
      <c r="S17" s="1" t="s">
        <v>728</v>
      </c>
      <c r="T17" s="1" t="s">
        <v>2605</v>
      </c>
    </row>
    <row r="18">
      <c r="A18" s="27" t="s">
        <v>722</v>
      </c>
      <c r="C18" s="1" t="s">
        <v>2250</v>
      </c>
      <c r="D18" s="1">
        <v>17.0</v>
      </c>
      <c r="E18" s="17" t="s">
        <v>730</v>
      </c>
      <c r="F18" s="17" t="s">
        <v>760</v>
      </c>
      <c r="G18" s="17" t="s">
        <v>2580</v>
      </c>
      <c r="H18" s="17" t="s">
        <v>2603</v>
      </c>
      <c r="I18" s="17" t="s">
        <v>39</v>
      </c>
      <c r="J18" s="1" t="s">
        <v>728</v>
      </c>
      <c r="M18" s="28" t="s">
        <v>780</v>
      </c>
      <c r="N18" s="17" t="s">
        <v>730</v>
      </c>
      <c r="O18" s="17" t="s">
        <v>781</v>
      </c>
      <c r="P18" s="17" t="s">
        <v>782</v>
      </c>
      <c r="Q18" s="17" t="s">
        <v>786</v>
      </c>
      <c r="R18" s="17" t="s">
        <v>91</v>
      </c>
      <c r="S18" s="1" t="s">
        <v>728</v>
      </c>
      <c r="T18" s="1" t="s">
        <v>2605</v>
      </c>
    </row>
    <row r="19">
      <c r="A19" s="27" t="s">
        <v>722</v>
      </c>
      <c r="C19" s="1" t="s">
        <v>2250</v>
      </c>
      <c r="D19" s="1">
        <v>18.0</v>
      </c>
      <c r="E19" s="17" t="s">
        <v>730</v>
      </c>
      <c r="F19" s="17" t="s">
        <v>777</v>
      </c>
      <c r="G19" s="17" t="s">
        <v>2606</v>
      </c>
      <c r="H19" s="17" t="s">
        <v>786</v>
      </c>
      <c r="I19" s="17" t="s">
        <v>91</v>
      </c>
      <c r="J19" s="1" t="s">
        <v>728</v>
      </c>
      <c r="M19" s="28" t="s">
        <v>784</v>
      </c>
      <c r="N19" s="17" t="s">
        <v>730</v>
      </c>
      <c r="O19" s="17" t="s">
        <v>781</v>
      </c>
      <c r="P19" s="17" t="s">
        <v>785</v>
      </c>
      <c r="Q19" s="17" t="s">
        <v>786</v>
      </c>
      <c r="R19" s="17" t="s">
        <v>91</v>
      </c>
      <c r="S19" s="1" t="s">
        <v>728</v>
      </c>
      <c r="T19" s="1" t="s">
        <v>2605</v>
      </c>
    </row>
    <row r="20">
      <c r="A20" s="27" t="s">
        <v>722</v>
      </c>
      <c r="C20" s="1" t="s">
        <v>2250</v>
      </c>
      <c r="D20" s="1">
        <v>19.0</v>
      </c>
      <c r="E20" s="17" t="s">
        <v>730</v>
      </c>
      <c r="F20" s="17" t="s">
        <v>777</v>
      </c>
      <c r="G20" s="17" t="s">
        <v>778</v>
      </c>
      <c r="H20" s="17" t="s">
        <v>786</v>
      </c>
      <c r="I20" s="17" t="s">
        <v>91</v>
      </c>
      <c r="J20" s="1" t="s">
        <v>728</v>
      </c>
      <c r="M20" s="28" t="s">
        <v>787</v>
      </c>
      <c r="N20" s="17" t="s">
        <v>730</v>
      </c>
      <c r="O20" s="17" t="s">
        <v>788</v>
      </c>
      <c r="P20" s="17" t="s">
        <v>789</v>
      </c>
      <c r="Q20" s="17" t="s">
        <v>2607</v>
      </c>
      <c r="R20" s="17" t="s">
        <v>39</v>
      </c>
      <c r="S20" s="1" t="s">
        <v>728</v>
      </c>
    </row>
    <row r="21">
      <c r="A21" s="27" t="s">
        <v>722</v>
      </c>
      <c r="C21" s="1" t="s">
        <v>2250</v>
      </c>
      <c r="D21" s="1">
        <v>20.0</v>
      </c>
      <c r="E21" s="17" t="s">
        <v>730</v>
      </c>
      <c r="F21" s="17" t="s">
        <v>781</v>
      </c>
      <c r="G21" s="17" t="s">
        <v>782</v>
      </c>
      <c r="H21" s="17" t="s">
        <v>786</v>
      </c>
      <c r="I21" s="17" t="s">
        <v>91</v>
      </c>
      <c r="J21" s="1" t="s">
        <v>728</v>
      </c>
      <c r="M21" s="28" t="s">
        <v>791</v>
      </c>
      <c r="N21" s="17" t="s">
        <v>734</v>
      </c>
      <c r="O21" s="17" t="s">
        <v>2608</v>
      </c>
      <c r="P21" s="17" t="s">
        <v>793</v>
      </c>
      <c r="Q21" s="17" t="s">
        <v>2609</v>
      </c>
      <c r="R21" s="17" t="s">
        <v>91</v>
      </c>
      <c r="S21" s="1" t="s">
        <v>728</v>
      </c>
    </row>
    <row r="22">
      <c r="A22" s="27" t="s">
        <v>722</v>
      </c>
      <c r="C22" s="1" t="s">
        <v>2250</v>
      </c>
      <c r="D22" s="1">
        <v>21.0</v>
      </c>
      <c r="E22" s="17" t="s">
        <v>730</v>
      </c>
      <c r="F22" s="17" t="s">
        <v>781</v>
      </c>
      <c r="G22" s="17" t="s">
        <v>785</v>
      </c>
      <c r="H22" s="17" t="s">
        <v>786</v>
      </c>
      <c r="I22" s="17" t="s">
        <v>91</v>
      </c>
      <c r="J22" s="1" t="s">
        <v>728</v>
      </c>
      <c r="M22" s="28" t="s">
        <v>795</v>
      </c>
      <c r="N22" s="17" t="s">
        <v>738</v>
      </c>
      <c r="O22" s="17" t="s">
        <v>796</v>
      </c>
      <c r="P22" s="35" t="s">
        <v>797</v>
      </c>
      <c r="Q22" s="17" t="s">
        <v>2610</v>
      </c>
      <c r="R22" s="17" t="s">
        <v>39</v>
      </c>
      <c r="S22" s="1" t="s">
        <v>728</v>
      </c>
    </row>
    <row r="23">
      <c r="A23" s="27" t="s">
        <v>722</v>
      </c>
      <c r="C23" s="1" t="s">
        <v>2250</v>
      </c>
      <c r="D23" s="1">
        <v>22.0</v>
      </c>
      <c r="E23" s="17" t="s">
        <v>730</v>
      </c>
      <c r="F23" s="17" t="s">
        <v>788</v>
      </c>
      <c r="G23" s="17" t="s">
        <v>789</v>
      </c>
      <c r="H23" s="17" t="s">
        <v>2607</v>
      </c>
      <c r="I23" s="17" t="s">
        <v>39</v>
      </c>
      <c r="J23" s="1" t="s">
        <v>728</v>
      </c>
    </row>
    <row r="24">
      <c r="A24" s="27" t="s">
        <v>722</v>
      </c>
      <c r="C24" s="1" t="s">
        <v>2250</v>
      </c>
      <c r="D24" s="1">
        <v>23.0</v>
      </c>
      <c r="E24" s="17" t="s">
        <v>734</v>
      </c>
      <c r="F24" s="17" t="s">
        <v>2611</v>
      </c>
      <c r="G24" s="17" t="s">
        <v>2608</v>
      </c>
      <c r="H24" s="17" t="s">
        <v>2612</v>
      </c>
      <c r="I24" s="17" t="s">
        <v>39</v>
      </c>
      <c r="J24" s="1" t="s">
        <v>728</v>
      </c>
    </row>
    <row r="25">
      <c r="A25" s="27" t="s">
        <v>722</v>
      </c>
      <c r="C25" s="1" t="s">
        <v>2250</v>
      </c>
      <c r="D25" s="1">
        <v>24.0</v>
      </c>
      <c r="E25" s="17" t="s">
        <v>734</v>
      </c>
      <c r="F25" s="17" t="s">
        <v>2608</v>
      </c>
      <c r="G25" s="17" t="s">
        <v>793</v>
      </c>
      <c r="H25" s="17" t="s">
        <v>2609</v>
      </c>
      <c r="I25" s="17" t="s">
        <v>91</v>
      </c>
      <c r="J25" s="1" t="s">
        <v>728</v>
      </c>
    </row>
    <row r="26">
      <c r="A26" s="27" t="s">
        <v>722</v>
      </c>
      <c r="C26" s="1" t="s">
        <v>2250</v>
      </c>
      <c r="D26" s="1">
        <v>25.0</v>
      </c>
      <c r="E26" s="17" t="s">
        <v>738</v>
      </c>
      <c r="F26" s="17" t="s">
        <v>796</v>
      </c>
      <c r="G26" s="17" t="s">
        <v>2613</v>
      </c>
      <c r="H26" s="17" t="s">
        <v>2614</v>
      </c>
      <c r="I26" s="17" t="s">
        <v>39</v>
      </c>
      <c r="J26" s="1" t="s">
        <v>728</v>
      </c>
    </row>
    <row r="27">
      <c r="A27" s="27" t="s">
        <v>722</v>
      </c>
      <c r="C27" s="1" t="s">
        <v>2250</v>
      </c>
      <c r="D27" s="1">
        <v>26.0</v>
      </c>
      <c r="E27" s="17" t="s">
        <v>738</v>
      </c>
      <c r="F27" s="17" t="s">
        <v>796</v>
      </c>
      <c r="G27" s="17" t="s">
        <v>2615</v>
      </c>
      <c r="H27" s="17" t="s">
        <v>2610</v>
      </c>
      <c r="I27" s="17" t="s">
        <v>39</v>
      </c>
      <c r="J27" s="1" t="s">
        <v>728</v>
      </c>
    </row>
    <row r="28">
      <c r="A28" s="27" t="s">
        <v>722</v>
      </c>
      <c r="C28" s="1" t="s">
        <v>2250</v>
      </c>
      <c r="D28" s="1">
        <v>27.0</v>
      </c>
      <c r="E28" s="17" t="s">
        <v>2616</v>
      </c>
      <c r="F28" s="17" t="s">
        <v>760</v>
      </c>
      <c r="G28" s="17" t="s">
        <v>2617</v>
      </c>
      <c r="H28" s="17" t="s">
        <v>750</v>
      </c>
      <c r="I28" s="17" t="s">
        <v>39</v>
      </c>
      <c r="J28" s="1" t="s">
        <v>728</v>
      </c>
    </row>
    <row r="29">
      <c r="A29" s="27" t="s">
        <v>722</v>
      </c>
      <c r="C29" s="1" t="s">
        <v>2250</v>
      </c>
      <c r="D29" s="1">
        <v>28.0</v>
      </c>
      <c r="E29" s="17" t="s">
        <v>2616</v>
      </c>
      <c r="F29" s="17" t="s">
        <v>760</v>
      </c>
      <c r="G29" s="17" t="s">
        <v>752</v>
      </c>
      <c r="H29" s="17" t="s">
        <v>2590</v>
      </c>
      <c r="I29" s="17" t="s">
        <v>39</v>
      </c>
      <c r="J29" s="1" t="s">
        <v>728</v>
      </c>
    </row>
    <row r="30">
      <c r="A30" s="27" t="s">
        <v>722</v>
      </c>
      <c r="C30" s="1" t="s">
        <v>2250</v>
      </c>
      <c r="D30" s="1">
        <v>29.0</v>
      </c>
      <c r="E30" s="17" t="s">
        <v>759</v>
      </c>
      <c r="F30" s="17" t="s">
        <v>760</v>
      </c>
      <c r="G30" s="17" t="s">
        <v>761</v>
      </c>
      <c r="H30" s="17" t="s">
        <v>2593</v>
      </c>
      <c r="I30" s="17" t="s">
        <v>39</v>
      </c>
      <c r="J30" s="1" t="s">
        <v>728</v>
      </c>
    </row>
    <row r="31">
      <c r="A31" s="67"/>
      <c r="B31" s="67"/>
      <c r="C31" s="67"/>
      <c r="D31" s="67"/>
      <c r="E31" s="67"/>
      <c r="F31" s="67"/>
      <c r="G31" s="67"/>
      <c r="H31" s="67"/>
      <c r="I31" s="67"/>
      <c r="J31" s="67"/>
      <c r="K31" s="67"/>
      <c r="L31" s="67"/>
      <c r="M31" s="67"/>
      <c r="N31" s="67"/>
      <c r="O31" s="67"/>
      <c r="P31" s="67"/>
      <c r="Q31" s="67"/>
      <c r="R31" s="67"/>
      <c r="S31" s="67"/>
      <c r="T31" s="67"/>
      <c r="U31" s="67"/>
      <c r="V31" s="67"/>
      <c r="W31" s="67"/>
      <c r="X31" s="67"/>
      <c r="Y31" s="67"/>
      <c r="Z31" s="67"/>
      <c r="AA31" s="67"/>
    </row>
    <row r="32">
      <c r="A32" s="27" t="s">
        <v>799</v>
      </c>
      <c r="C32" s="1" t="s">
        <v>2618</v>
      </c>
      <c r="E32" s="1" t="s">
        <v>2619</v>
      </c>
    </row>
    <row r="33">
      <c r="A33" s="68"/>
      <c r="B33" s="67"/>
      <c r="C33" s="69"/>
      <c r="D33" s="69"/>
      <c r="E33" s="69"/>
      <c r="F33" s="69"/>
      <c r="G33" s="69"/>
      <c r="H33" s="69"/>
      <c r="I33" s="69"/>
      <c r="J33" s="69"/>
      <c r="K33" s="67"/>
      <c r="L33" s="67"/>
      <c r="M33" s="69"/>
      <c r="N33" s="69"/>
      <c r="O33" s="69"/>
      <c r="P33" s="69"/>
      <c r="Q33" s="69"/>
      <c r="R33" s="69"/>
      <c r="S33" s="69"/>
      <c r="T33" s="67"/>
      <c r="U33" s="67"/>
      <c r="V33" s="67"/>
      <c r="W33" s="67"/>
      <c r="X33" s="67"/>
      <c r="Y33" s="67"/>
      <c r="Z33" s="67"/>
      <c r="AA33" s="67"/>
    </row>
    <row r="34">
      <c r="A34" s="27" t="s">
        <v>800</v>
      </c>
      <c r="C34" s="1" t="s">
        <v>2572</v>
      </c>
      <c r="D34" s="1">
        <v>1.0</v>
      </c>
      <c r="E34" s="1" t="s">
        <v>802</v>
      </c>
      <c r="F34" s="1" t="s">
        <v>803</v>
      </c>
      <c r="G34" s="1" t="s">
        <v>804</v>
      </c>
      <c r="H34" s="1" t="s">
        <v>1003</v>
      </c>
      <c r="I34" s="1" t="s">
        <v>14</v>
      </c>
      <c r="J34" s="1" t="s">
        <v>806</v>
      </c>
      <c r="M34" s="28" t="s">
        <v>801</v>
      </c>
      <c r="N34" s="1" t="s">
        <v>802</v>
      </c>
      <c r="O34" s="1" t="s">
        <v>803</v>
      </c>
      <c r="P34" s="1" t="s">
        <v>804</v>
      </c>
      <c r="Q34" s="1" t="s">
        <v>1003</v>
      </c>
      <c r="R34" s="1" t="s">
        <v>14</v>
      </c>
      <c r="S34" s="1" t="s">
        <v>806</v>
      </c>
    </row>
    <row r="35">
      <c r="A35" s="27" t="s">
        <v>800</v>
      </c>
      <c r="C35" s="1" t="s">
        <v>2572</v>
      </c>
      <c r="D35" s="1">
        <v>2.0</v>
      </c>
      <c r="E35" s="1" t="s">
        <v>808</v>
      </c>
      <c r="F35" s="1" t="s">
        <v>809</v>
      </c>
      <c r="G35" s="1" t="s">
        <v>810</v>
      </c>
      <c r="I35" s="1" t="s">
        <v>44</v>
      </c>
      <c r="J35" s="1" t="s">
        <v>806</v>
      </c>
      <c r="M35" s="28" t="s">
        <v>807</v>
      </c>
      <c r="N35" s="1" t="s">
        <v>808</v>
      </c>
      <c r="O35" s="1" t="s">
        <v>809</v>
      </c>
      <c r="P35" s="1" t="s">
        <v>810</v>
      </c>
      <c r="R35" s="1" t="s">
        <v>44</v>
      </c>
      <c r="S35" s="1" t="s">
        <v>806</v>
      </c>
    </row>
    <row r="36">
      <c r="A36" s="27" t="s">
        <v>800</v>
      </c>
      <c r="C36" s="1" t="s">
        <v>2572</v>
      </c>
      <c r="D36" s="1">
        <v>3.0</v>
      </c>
      <c r="E36" s="1" t="s">
        <v>818</v>
      </c>
      <c r="F36" s="1" t="s">
        <v>1365</v>
      </c>
      <c r="G36" s="1" t="s">
        <v>2620</v>
      </c>
      <c r="H36" s="1" t="s">
        <v>2621</v>
      </c>
      <c r="I36" s="1" t="s">
        <v>54</v>
      </c>
      <c r="J36" s="8"/>
      <c r="M36" s="28" t="s">
        <v>811</v>
      </c>
      <c r="N36" s="17" t="s">
        <v>808</v>
      </c>
      <c r="O36" s="17" t="s">
        <v>33</v>
      </c>
      <c r="P36" s="17" t="s">
        <v>812</v>
      </c>
      <c r="Q36" s="17" t="s">
        <v>2622</v>
      </c>
      <c r="R36" s="17" t="s">
        <v>20</v>
      </c>
      <c r="S36" s="17" t="s">
        <v>806</v>
      </c>
    </row>
    <row r="37">
      <c r="A37" s="27" t="s">
        <v>800</v>
      </c>
      <c r="C37" s="1" t="s">
        <v>2572</v>
      </c>
      <c r="D37" s="1">
        <v>4.0</v>
      </c>
      <c r="E37" s="1" t="s">
        <v>818</v>
      </c>
      <c r="F37" s="1" t="s">
        <v>822</v>
      </c>
      <c r="G37" s="1" t="s">
        <v>2623</v>
      </c>
      <c r="H37" s="1" t="s">
        <v>2624</v>
      </c>
      <c r="I37" s="1" t="s">
        <v>39</v>
      </c>
      <c r="J37" s="8"/>
      <c r="M37" s="28" t="s">
        <v>814</v>
      </c>
      <c r="N37" s="17" t="s">
        <v>815</v>
      </c>
      <c r="O37" s="17" t="s">
        <v>33</v>
      </c>
      <c r="P37" s="17" t="s">
        <v>816</v>
      </c>
      <c r="Q37" s="17" t="s">
        <v>33</v>
      </c>
      <c r="R37" s="17" t="s">
        <v>44</v>
      </c>
      <c r="S37" s="17" t="s">
        <v>806</v>
      </c>
    </row>
    <row r="38">
      <c r="A38" s="27" t="s">
        <v>800</v>
      </c>
      <c r="C38" s="1" t="s">
        <v>2572</v>
      </c>
      <c r="D38" s="1">
        <v>5.0</v>
      </c>
      <c r="E38" s="1" t="s">
        <v>821</v>
      </c>
      <c r="F38" s="1" t="s">
        <v>822</v>
      </c>
      <c r="G38" s="1" t="s">
        <v>2625</v>
      </c>
      <c r="H38" s="1" t="s">
        <v>824</v>
      </c>
      <c r="I38" s="1" t="s">
        <v>39</v>
      </c>
      <c r="J38" s="8"/>
      <c r="M38" s="28" t="s">
        <v>817</v>
      </c>
      <c r="N38" s="35" t="s">
        <v>818</v>
      </c>
      <c r="O38" s="22"/>
      <c r="P38" s="70" t="s">
        <v>819</v>
      </c>
      <c r="Q38" s="22"/>
      <c r="R38" s="35" t="s">
        <v>39</v>
      </c>
      <c r="S38" s="17" t="s">
        <v>806</v>
      </c>
    </row>
    <row r="39">
      <c r="A39" s="27" t="s">
        <v>800</v>
      </c>
      <c r="C39" s="1" t="s">
        <v>2250</v>
      </c>
      <c r="D39" s="1">
        <v>6.0</v>
      </c>
      <c r="E39" s="17" t="s">
        <v>815</v>
      </c>
      <c r="F39" s="17" t="s">
        <v>33</v>
      </c>
      <c r="G39" s="17" t="s">
        <v>816</v>
      </c>
      <c r="H39" s="17" t="s">
        <v>33</v>
      </c>
      <c r="I39" s="17" t="s">
        <v>44</v>
      </c>
      <c r="J39" s="17" t="s">
        <v>806</v>
      </c>
      <c r="M39" s="28" t="s">
        <v>820</v>
      </c>
      <c r="N39" s="1" t="s">
        <v>821</v>
      </c>
      <c r="O39" s="1" t="s">
        <v>822</v>
      </c>
      <c r="P39" s="1" t="s">
        <v>823</v>
      </c>
      <c r="Q39" s="1" t="s">
        <v>824</v>
      </c>
      <c r="R39" s="1" t="s">
        <v>39</v>
      </c>
      <c r="S39" s="1" t="s">
        <v>806</v>
      </c>
    </row>
    <row r="40">
      <c r="A40" s="27" t="s">
        <v>800</v>
      </c>
      <c r="C40" s="1" t="s">
        <v>2250</v>
      </c>
      <c r="D40" s="1">
        <v>7.0</v>
      </c>
      <c r="E40" s="17" t="s">
        <v>808</v>
      </c>
      <c r="F40" s="17" t="s">
        <v>33</v>
      </c>
      <c r="G40" s="17" t="s">
        <v>2626</v>
      </c>
      <c r="H40" s="17" t="s">
        <v>2622</v>
      </c>
      <c r="I40" s="17" t="s">
        <v>20</v>
      </c>
      <c r="J40" s="17" t="s">
        <v>806</v>
      </c>
      <c r="M40" s="34"/>
    </row>
    <row r="41">
      <c r="A41" s="27" t="s">
        <v>800</v>
      </c>
      <c r="C41" s="1" t="s">
        <v>2250</v>
      </c>
      <c r="D41" s="1">
        <v>8.0</v>
      </c>
      <c r="E41" s="17" t="s">
        <v>808</v>
      </c>
      <c r="F41" s="17" t="s">
        <v>33</v>
      </c>
      <c r="G41" s="17" t="s">
        <v>812</v>
      </c>
      <c r="H41" s="17" t="s">
        <v>2622</v>
      </c>
      <c r="I41" s="17" t="s">
        <v>20</v>
      </c>
      <c r="J41" s="17" t="s">
        <v>806</v>
      </c>
      <c r="M41" s="34"/>
    </row>
    <row r="42">
      <c r="A42" s="27" t="s">
        <v>800</v>
      </c>
      <c r="C42" s="1" t="s">
        <v>2250</v>
      </c>
      <c r="D42" s="1">
        <v>9.0</v>
      </c>
      <c r="E42" s="17" t="s">
        <v>2627</v>
      </c>
      <c r="F42" s="22"/>
      <c r="G42" s="66" t="s">
        <v>2628</v>
      </c>
      <c r="H42" s="22"/>
      <c r="I42" s="17" t="s">
        <v>91</v>
      </c>
      <c r="J42" s="17" t="s">
        <v>806</v>
      </c>
      <c r="M42" s="34"/>
    </row>
    <row r="43">
      <c r="A43" s="27" t="s">
        <v>800</v>
      </c>
      <c r="C43" s="1" t="s">
        <v>2250</v>
      </c>
      <c r="D43" s="1">
        <v>10.0</v>
      </c>
      <c r="E43" s="17" t="s">
        <v>821</v>
      </c>
      <c r="F43" s="17" t="s">
        <v>2629</v>
      </c>
      <c r="G43" s="17" t="s">
        <v>2630</v>
      </c>
      <c r="H43" s="17" t="s">
        <v>414</v>
      </c>
      <c r="I43" s="17" t="s">
        <v>39</v>
      </c>
      <c r="J43" s="17" t="s">
        <v>806</v>
      </c>
      <c r="M43" s="34"/>
    </row>
    <row r="44">
      <c r="A44" s="68"/>
      <c r="B44" s="67"/>
      <c r="C44" s="69"/>
      <c r="D44" s="69"/>
      <c r="E44" s="69"/>
      <c r="F44" s="69"/>
      <c r="G44" s="69"/>
      <c r="H44" s="69"/>
      <c r="I44" s="69"/>
      <c r="J44" s="69"/>
      <c r="K44" s="67"/>
      <c r="L44" s="67"/>
      <c r="M44" s="69"/>
      <c r="N44" s="69"/>
      <c r="O44" s="69"/>
      <c r="P44" s="69"/>
      <c r="Q44" s="69"/>
      <c r="R44" s="69"/>
      <c r="S44" s="69"/>
      <c r="T44" s="67"/>
      <c r="U44" s="67"/>
      <c r="V44" s="67"/>
      <c r="W44" s="67"/>
      <c r="X44" s="67"/>
      <c r="Y44" s="67"/>
      <c r="Z44" s="67"/>
      <c r="AA44" s="67"/>
    </row>
    <row r="45">
      <c r="A45" s="27" t="s">
        <v>825</v>
      </c>
      <c r="C45" s="1" t="s">
        <v>2572</v>
      </c>
      <c r="D45" s="1">
        <v>1.0</v>
      </c>
      <c r="E45" s="1" t="s">
        <v>826</v>
      </c>
      <c r="F45" s="1" t="s">
        <v>827</v>
      </c>
      <c r="G45" s="1" t="s">
        <v>828</v>
      </c>
      <c r="H45" s="1" t="s">
        <v>829</v>
      </c>
      <c r="I45" s="1" t="s">
        <v>54</v>
      </c>
      <c r="J45" s="1" t="s">
        <v>830</v>
      </c>
      <c r="M45" s="28" t="s">
        <v>801</v>
      </c>
      <c r="N45" s="1" t="s">
        <v>826</v>
      </c>
      <c r="O45" s="1" t="s">
        <v>827</v>
      </c>
      <c r="P45" s="1" t="s">
        <v>828</v>
      </c>
      <c r="Q45" s="1" t="s">
        <v>829</v>
      </c>
      <c r="R45" s="1" t="s">
        <v>54</v>
      </c>
      <c r="S45" s="1" t="s">
        <v>830</v>
      </c>
      <c r="T45" s="1" t="s">
        <v>2631</v>
      </c>
    </row>
    <row r="46">
      <c r="A46" s="27" t="s">
        <v>825</v>
      </c>
      <c r="C46" s="1" t="s">
        <v>2572</v>
      </c>
      <c r="D46" s="1">
        <v>2.0</v>
      </c>
      <c r="E46" s="1" t="s">
        <v>826</v>
      </c>
      <c r="F46" s="1" t="s">
        <v>827</v>
      </c>
      <c r="G46" s="1" t="s">
        <v>832</v>
      </c>
      <c r="H46" s="1" t="s">
        <v>833</v>
      </c>
      <c r="I46" s="1" t="s">
        <v>44</v>
      </c>
      <c r="J46" s="8"/>
      <c r="M46" s="28" t="s">
        <v>831</v>
      </c>
      <c r="N46" s="1" t="s">
        <v>826</v>
      </c>
      <c r="O46" s="1" t="s">
        <v>827</v>
      </c>
      <c r="P46" s="1" t="s">
        <v>832</v>
      </c>
      <c r="Q46" s="1" t="s">
        <v>833</v>
      </c>
      <c r="R46" s="1" t="s">
        <v>44</v>
      </c>
      <c r="S46" s="1" t="s">
        <v>830</v>
      </c>
    </row>
    <row r="47">
      <c r="A47" s="27" t="s">
        <v>825</v>
      </c>
      <c r="C47" s="1" t="s">
        <v>2572</v>
      </c>
      <c r="D47" s="1">
        <v>3.0</v>
      </c>
      <c r="E47" s="1" t="s">
        <v>835</v>
      </c>
      <c r="F47" s="1" t="s">
        <v>2632</v>
      </c>
      <c r="G47" s="1" t="s">
        <v>837</v>
      </c>
      <c r="H47" s="1" t="s">
        <v>838</v>
      </c>
      <c r="I47" s="1" t="s">
        <v>14</v>
      </c>
      <c r="J47" s="8"/>
      <c r="M47" s="28" t="s">
        <v>834</v>
      </c>
      <c r="N47" s="1" t="s">
        <v>835</v>
      </c>
      <c r="O47" s="1" t="s">
        <v>2632</v>
      </c>
      <c r="P47" s="1" t="s">
        <v>837</v>
      </c>
      <c r="Q47" s="1" t="s">
        <v>838</v>
      </c>
      <c r="R47" s="1" t="s">
        <v>14</v>
      </c>
      <c r="S47" s="1" t="s">
        <v>830</v>
      </c>
    </row>
    <row r="48">
      <c r="A48" s="27" t="s">
        <v>825</v>
      </c>
      <c r="C48" s="1" t="s">
        <v>2250</v>
      </c>
      <c r="D48" s="1">
        <v>4.0</v>
      </c>
      <c r="E48" s="17" t="s">
        <v>840</v>
      </c>
      <c r="F48" s="17" t="s">
        <v>836</v>
      </c>
      <c r="G48" s="17" t="s">
        <v>841</v>
      </c>
      <c r="H48" s="17" t="s">
        <v>842</v>
      </c>
      <c r="I48" s="17" t="s">
        <v>20</v>
      </c>
      <c r="J48" s="17" t="s">
        <v>830</v>
      </c>
      <c r="M48" s="28" t="s">
        <v>839</v>
      </c>
      <c r="N48" s="17" t="s">
        <v>840</v>
      </c>
      <c r="O48" s="17" t="s">
        <v>836</v>
      </c>
      <c r="P48" s="17" t="s">
        <v>841</v>
      </c>
      <c r="Q48" s="17" t="s">
        <v>842</v>
      </c>
      <c r="R48" s="17" t="s">
        <v>20</v>
      </c>
      <c r="S48" s="17" t="s">
        <v>830</v>
      </c>
    </row>
    <row r="49">
      <c r="A49" s="27" t="s">
        <v>825</v>
      </c>
      <c r="C49" s="1" t="s">
        <v>2250</v>
      </c>
      <c r="D49" s="1">
        <v>5.0</v>
      </c>
      <c r="E49" s="17" t="s">
        <v>844</v>
      </c>
      <c r="F49" s="17" t="s">
        <v>827</v>
      </c>
      <c r="G49" s="17" t="s">
        <v>845</v>
      </c>
      <c r="H49" s="17" t="s">
        <v>846</v>
      </c>
      <c r="I49" s="17" t="s">
        <v>20</v>
      </c>
      <c r="J49" s="17" t="s">
        <v>830</v>
      </c>
      <c r="M49" s="28" t="s">
        <v>843</v>
      </c>
      <c r="N49" s="17" t="s">
        <v>844</v>
      </c>
      <c r="O49" s="17" t="s">
        <v>827</v>
      </c>
      <c r="P49" s="17" t="s">
        <v>845</v>
      </c>
      <c r="Q49" s="17" t="s">
        <v>846</v>
      </c>
      <c r="R49" s="17" t="s">
        <v>20</v>
      </c>
      <c r="S49" s="17" t="s">
        <v>830</v>
      </c>
    </row>
    <row r="50">
      <c r="A50" s="27" t="s">
        <v>825</v>
      </c>
      <c r="C50" s="1" t="s">
        <v>2250</v>
      </c>
      <c r="D50" s="1">
        <v>6.0</v>
      </c>
      <c r="E50" s="17" t="s">
        <v>847</v>
      </c>
      <c r="F50" s="17" t="s">
        <v>33</v>
      </c>
      <c r="G50" s="17" t="s">
        <v>848</v>
      </c>
      <c r="H50" s="17" t="s">
        <v>849</v>
      </c>
      <c r="I50" s="17" t="s">
        <v>39</v>
      </c>
      <c r="J50" s="17" t="s">
        <v>830</v>
      </c>
      <c r="M50" s="28" t="s">
        <v>814</v>
      </c>
      <c r="N50" s="17" t="s">
        <v>847</v>
      </c>
      <c r="O50" s="17" t="s">
        <v>33</v>
      </c>
      <c r="P50" s="17" t="s">
        <v>848</v>
      </c>
      <c r="Q50" s="17" t="s">
        <v>849</v>
      </c>
      <c r="R50" s="17" t="s">
        <v>39</v>
      </c>
      <c r="S50" s="17" t="s">
        <v>830</v>
      </c>
    </row>
    <row r="51">
      <c r="A51" s="27" t="s">
        <v>825</v>
      </c>
      <c r="C51" s="1" t="s">
        <v>2250</v>
      </c>
      <c r="D51" s="1">
        <v>7.0</v>
      </c>
      <c r="E51" s="17" t="s">
        <v>847</v>
      </c>
      <c r="F51" s="17" t="s">
        <v>205</v>
      </c>
      <c r="G51" s="66" t="s">
        <v>2633</v>
      </c>
      <c r="H51" s="22"/>
      <c r="I51" s="17" t="s">
        <v>39</v>
      </c>
      <c r="J51" s="17" t="s">
        <v>830</v>
      </c>
      <c r="M51" s="63" t="s">
        <v>2634</v>
      </c>
      <c r="N51" s="71" t="s">
        <v>2635</v>
      </c>
      <c r="O51" s="17"/>
      <c r="P51" s="66"/>
      <c r="Q51" s="22"/>
      <c r="R51" s="17"/>
      <c r="S51" s="17"/>
    </row>
    <row r="52">
      <c r="A52" s="68"/>
      <c r="B52" s="67"/>
      <c r="C52" s="69"/>
      <c r="D52" s="69"/>
      <c r="E52" s="69"/>
      <c r="F52" s="69"/>
      <c r="G52" s="69"/>
      <c r="H52" s="69"/>
      <c r="I52" s="69"/>
      <c r="J52" s="69"/>
      <c r="K52" s="67"/>
      <c r="L52" s="67"/>
      <c r="M52" s="69"/>
      <c r="N52" s="69"/>
      <c r="O52" s="69"/>
      <c r="P52" s="69"/>
      <c r="Q52" s="69"/>
      <c r="R52" s="69"/>
      <c r="S52" s="69"/>
      <c r="T52" s="67"/>
      <c r="U52" s="67"/>
      <c r="V52" s="67"/>
      <c r="W52" s="67"/>
      <c r="X52" s="67"/>
      <c r="Y52" s="67"/>
      <c r="Z52" s="67"/>
      <c r="AA52" s="67"/>
    </row>
    <row r="53">
      <c r="A53" s="27"/>
    </row>
    <row r="54">
      <c r="A54" s="27"/>
    </row>
    <row r="55">
      <c r="A55" s="27"/>
    </row>
    <row r="56">
      <c r="A56" s="27"/>
    </row>
  </sheetData>
  <dataValidations>
    <dataValidation type="list" allowBlank="1" showInputMessage="1" prompt="Haz clic e introduce un valor de intervalo 'General Taggs'!C2:C32" sqref="R3:R22 I2:I30 R33:R39 I33:I52 R44:R52">
      <formula1>'General Tags'!$D$2:$D$32</formula1>
    </dataValidation>
    <dataValidation type="list" allowBlank="1" showInputMessage="1" showErrorMessage="1" prompt="Please, first add the SE task in the General tags page in column E" sqref="S33:S39 J33:J52 S44:S52">
      <formula1>'General Tags'!$F$2:$F$295</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hidden="1" min="2" max="2" width="12.63"/>
    <col customWidth="1" min="3" max="3" width="3.25"/>
    <col customWidth="1" min="4" max="4" width="9.88"/>
    <col customWidth="1" min="5" max="5" width="15.38"/>
    <col customWidth="1" min="6" max="6" width="24.25"/>
    <col customWidth="1" min="7" max="7" width="16.88"/>
    <col customWidth="1" min="9" max="9" width="6.88"/>
    <col customWidth="1" min="10" max="10" width="3.5"/>
    <col customWidth="1" min="12" max="12" width="16.25"/>
    <col customWidth="1" min="15" max="15" width="16.38"/>
    <col customWidth="1" min="16" max="16" width="15.25"/>
    <col customWidth="1" min="17" max="17" width="21.25"/>
  </cols>
  <sheetData>
    <row r="1">
      <c r="A1" s="1" t="s">
        <v>0</v>
      </c>
      <c r="B1" s="1" t="s">
        <v>2234</v>
      </c>
      <c r="C1" s="14" t="s">
        <v>2636</v>
      </c>
      <c r="D1" s="72" t="s">
        <v>2</v>
      </c>
      <c r="E1" s="4" t="s">
        <v>3</v>
      </c>
      <c r="F1" s="5" t="s">
        <v>4</v>
      </c>
      <c r="G1" s="6" t="s">
        <v>5</v>
      </c>
      <c r="H1" s="38" t="s">
        <v>6</v>
      </c>
      <c r="I1" s="38" t="s">
        <v>7</v>
      </c>
      <c r="K1" s="39"/>
      <c r="L1" s="1" t="s">
        <v>1</v>
      </c>
      <c r="M1" s="3" t="s">
        <v>2</v>
      </c>
      <c r="N1" s="4" t="s">
        <v>3</v>
      </c>
      <c r="O1" s="37" t="s">
        <v>4</v>
      </c>
      <c r="P1" s="6" t="s">
        <v>5</v>
      </c>
      <c r="Q1" s="38" t="s">
        <v>6</v>
      </c>
      <c r="R1" s="38" t="s">
        <v>7</v>
      </c>
    </row>
    <row r="2">
      <c r="A2" s="1" t="s">
        <v>850</v>
      </c>
      <c r="C2" s="1" t="s">
        <v>2277</v>
      </c>
      <c r="D2" s="15" t="s">
        <v>852</v>
      </c>
      <c r="E2" s="1" t="s">
        <v>170</v>
      </c>
      <c r="F2" s="15" t="s">
        <v>853</v>
      </c>
      <c r="G2" s="1" t="s">
        <v>2637</v>
      </c>
      <c r="H2" s="1" t="s">
        <v>106</v>
      </c>
      <c r="I2" s="1" t="s">
        <v>806</v>
      </c>
      <c r="J2" s="73">
        <v>1.0</v>
      </c>
      <c r="K2" s="39"/>
      <c r="L2" s="1" t="s">
        <v>851</v>
      </c>
      <c r="M2" s="1" t="s">
        <v>852</v>
      </c>
      <c r="N2" s="1" t="s">
        <v>170</v>
      </c>
      <c r="O2" s="1" t="s">
        <v>853</v>
      </c>
      <c r="P2" s="1" t="s">
        <v>2637</v>
      </c>
      <c r="Q2" s="74" t="s">
        <v>44</v>
      </c>
      <c r="R2" s="1" t="s">
        <v>806</v>
      </c>
    </row>
    <row r="3" hidden="1">
      <c r="A3" s="75" t="s">
        <v>369</v>
      </c>
      <c r="B3" s="76" t="str">
        <f>VLOOKUP(A3,Assignment!$AB$3:$AC$24,2,FALSE())</f>
        <v>DONE</v>
      </c>
      <c r="C3" s="76"/>
      <c r="D3" s="76"/>
      <c r="E3" s="76"/>
      <c r="F3" s="76"/>
      <c r="G3" s="76"/>
      <c r="H3" s="76"/>
      <c r="I3" s="76"/>
      <c r="J3" s="76"/>
      <c r="K3" s="76"/>
      <c r="L3" s="76"/>
      <c r="M3" s="76"/>
      <c r="N3" s="76"/>
      <c r="O3" s="76"/>
      <c r="P3" s="76"/>
      <c r="Q3" s="76"/>
      <c r="R3" s="76"/>
      <c r="S3" s="76"/>
      <c r="T3" s="76"/>
      <c r="U3" s="76"/>
      <c r="V3" s="76"/>
      <c r="W3" s="76"/>
      <c r="X3" s="76"/>
      <c r="Y3" s="76"/>
      <c r="Z3" s="76"/>
      <c r="AA3" s="76"/>
      <c r="AB3" s="76"/>
      <c r="AC3" s="76"/>
      <c r="AD3" s="76"/>
      <c r="AE3" s="76"/>
    </row>
    <row r="4">
      <c r="A4" s="1" t="s">
        <v>850</v>
      </c>
      <c r="C4" s="1" t="s">
        <v>2277</v>
      </c>
      <c r="D4" s="15" t="s">
        <v>856</v>
      </c>
      <c r="E4" s="1" t="s">
        <v>857</v>
      </c>
      <c r="F4" s="15" t="s">
        <v>858</v>
      </c>
      <c r="G4" s="1" t="s">
        <v>859</v>
      </c>
      <c r="H4" s="1" t="s">
        <v>54</v>
      </c>
      <c r="I4" s="1" t="s">
        <v>806</v>
      </c>
      <c r="J4" s="77">
        <v>2.0</v>
      </c>
      <c r="K4" s="39"/>
      <c r="L4" s="1" t="s">
        <v>855</v>
      </c>
      <c r="M4" s="1" t="s">
        <v>856</v>
      </c>
      <c r="N4" s="1" t="s">
        <v>857</v>
      </c>
      <c r="O4" s="1" t="s">
        <v>858</v>
      </c>
      <c r="P4" s="1" t="s">
        <v>859</v>
      </c>
      <c r="Q4" s="1" t="s">
        <v>54</v>
      </c>
      <c r="R4" s="1" t="s">
        <v>806</v>
      </c>
    </row>
    <row r="5">
      <c r="A5" s="1" t="s">
        <v>850</v>
      </c>
      <c r="C5" s="1" t="s">
        <v>2277</v>
      </c>
      <c r="D5" s="15" t="s">
        <v>868</v>
      </c>
      <c r="E5" s="1" t="s">
        <v>170</v>
      </c>
      <c r="F5" s="15" t="s">
        <v>2638</v>
      </c>
      <c r="G5" s="1" t="s">
        <v>2639</v>
      </c>
      <c r="H5" s="1" t="s">
        <v>14</v>
      </c>
      <c r="I5" s="1" t="s">
        <v>806</v>
      </c>
      <c r="J5" s="78">
        <v>3.0</v>
      </c>
      <c r="K5" s="39"/>
      <c r="L5" s="1">
        <v>6.0</v>
      </c>
      <c r="M5" s="1" t="s">
        <v>860</v>
      </c>
      <c r="O5" s="1" t="s">
        <v>861</v>
      </c>
      <c r="P5" s="1" t="s">
        <v>862</v>
      </c>
      <c r="Q5" s="1" t="s">
        <v>39</v>
      </c>
      <c r="R5" s="1" t="s">
        <v>806</v>
      </c>
    </row>
    <row r="6">
      <c r="A6" s="1" t="s">
        <v>850</v>
      </c>
      <c r="C6" s="1" t="s">
        <v>2277</v>
      </c>
      <c r="D6" s="15" t="s">
        <v>868</v>
      </c>
      <c r="E6" s="1" t="s">
        <v>857</v>
      </c>
      <c r="F6" s="15" t="s">
        <v>2640</v>
      </c>
      <c r="G6" s="1" t="s">
        <v>870</v>
      </c>
      <c r="H6" s="1" t="s">
        <v>39</v>
      </c>
      <c r="I6" s="1" t="s">
        <v>806</v>
      </c>
      <c r="J6" s="79">
        <v>4.0</v>
      </c>
      <c r="K6" s="39"/>
      <c r="L6" s="1" t="s">
        <v>863</v>
      </c>
      <c r="M6" s="1" t="s">
        <v>864</v>
      </c>
      <c r="N6" s="1" t="s">
        <v>865</v>
      </c>
      <c r="O6" s="1" t="s">
        <v>866</v>
      </c>
      <c r="P6" s="1" t="s">
        <v>867</v>
      </c>
      <c r="Q6" s="1" t="s">
        <v>39</v>
      </c>
      <c r="R6" s="1" t="s">
        <v>806</v>
      </c>
    </row>
    <row r="7">
      <c r="A7" s="1" t="s">
        <v>850</v>
      </c>
      <c r="C7" s="1" t="s">
        <v>2303</v>
      </c>
      <c r="D7" s="15" t="s">
        <v>860</v>
      </c>
      <c r="E7" s="1" t="s">
        <v>2641</v>
      </c>
      <c r="F7" s="15" t="s">
        <v>2642</v>
      </c>
      <c r="H7" s="1" t="s">
        <v>44</v>
      </c>
      <c r="I7" s="1" t="s">
        <v>806</v>
      </c>
      <c r="J7" s="73">
        <v>5.0</v>
      </c>
      <c r="K7" s="39"/>
      <c r="L7" s="1">
        <v>4.0</v>
      </c>
      <c r="M7" s="1" t="s">
        <v>868</v>
      </c>
      <c r="N7" s="1" t="s">
        <v>857</v>
      </c>
      <c r="O7" s="1" t="s">
        <v>2640</v>
      </c>
      <c r="P7" s="1" t="s">
        <v>870</v>
      </c>
      <c r="Q7" s="1" t="s">
        <v>39</v>
      </c>
      <c r="R7" s="1" t="s">
        <v>806</v>
      </c>
    </row>
    <row r="8">
      <c r="A8" s="1" t="s">
        <v>850</v>
      </c>
      <c r="C8" s="1" t="s">
        <v>2303</v>
      </c>
      <c r="D8" s="15" t="s">
        <v>860</v>
      </c>
      <c r="F8" s="15" t="s">
        <v>861</v>
      </c>
      <c r="G8" s="1" t="s">
        <v>862</v>
      </c>
      <c r="H8" s="1" t="s">
        <v>39</v>
      </c>
      <c r="I8" s="1" t="s">
        <v>806</v>
      </c>
      <c r="J8" s="80">
        <v>6.0</v>
      </c>
      <c r="K8" s="39"/>
      <c r="L8" s="1">
        <v>8.0</v>
      </c>
      <c r="M8" s="1" t="s">
        <v>871</v>
      </c>
      <c r="N8" s="1" t="s">
        <v>872</v>
      </c>
      <c r="O8" s="1" t="s">
        <v>873</v>
      </c>
      <c r="P8" s="1" t="s">
        <v>874</v>
      </c>
      <c r="Q8" s="1" t="s">
        <v>14</v>
      </c>
      <c r="R8" s="1" t="s">
        <v>806</v>
      </c>
    </row>
    <row r="9">
      <c r="A9" s="1" t="s">
        <v>850</v>
      </c>
      <c r="C9" s="1" t="s">
        <v>2303</v>
      </c>
      <c r="D9" s="15" t="s">
        <v>864</v>
      </c>
      <c r="F9" s="15" t="s">
        <v>866</v>
      </c>
      <c r="G9" s="1" t="s">
        <v>867</v>
      </c>
      <c r="H9" s="1" t="s">
        <v>39</v>
      </c>
      <c r="I9" s="1" t="s">
        <v>806</v>
      </c>
      <c r="J9" s="78">
        <v>7.0</v>
      </c>
      <c r="K9" s="39"/>
    </row>
    <row r="10">
      <c r="A10" s="1" t="s">
        <v>850</v>
      </c>
      <c r="C10" s="1" t="s">
        <v>2303</v>
      </c>
      <c r="D10" s="15" t="s">
        <v>871</v>
      </c>
      <c r="E10" s="1" t="s">
        <v>872</v>
      </c>
      <c r="F10" s="15" t="s">
        <v>873</v>
      </c>
      <c r="G10" s="1" t="s">
        <v>874</v>
      </c>
      <c r="H10" s="1" t="s">
        <v>14</v>
      </c>
      <c r="I10" s="1" t="s">
        <v>806</v>
      </c>
      <c r="J10" s="81">
        <v>8.0</v>
      </c>
      <c r="K10" s="39"/>
    </row>
    <row r="11">
      <c r="A11" s="69"/>
      <c r="B11" s="67"/>
      <c r="C11" s="69"/>
      <c r="D11" s="82"/>
      <c r="E11" s="69"/>
      <c r="F11" s="82"/>
      <c r="G11" s="69"/>
      <c r="H11" s="69"/>
      <c r="I11" s="69"/>
      <c r="J11" s="69"/>
      <c r="K11" s="67"/>
      <c r="L11" s="67"/>
      <c r="M11" s="67"/>
      <c r="N11" s="67"/>
      <c r="O11" s="67"/>
      <c r="P11" s="67"/>
      <c r="Q11" s="67"/>
      <c r="R11" s="67"/>
      <c r="S11" s="67"/>
      <c r="T11" s="67"/>
      <c r="U11" s="67"/>
      <c r="V11" s="67"/>
      <c r="W11" s="67"/>
      <c r="X11" s="67"/>
      <c r="Y11" s="67"/>
      <c r="Z11" s="67"/>
      <c r="AA11" s="67"/>
      <c r="AB11" s="67"/>
      <c r="AC11" s="67"/>
      <c r="AD11" s="67"/>
      <c r="AE11" s="67"/>
    </row>
    <row r="12">
      <c r="A12" s="1" t="s">
        <v>875</v>
      </c>
      <c r="C12" s="1" t="s">
        <v>2277</v>
      </c>
      <c r="D12" s="15" t="s">
        <v>2643</v>
      </c>
      <c r="E12" s="1" t="s">
        <v>170</v>
      </c>
      <c r="F12" s="15" t="s">
        <v>879</v>
      </c>
      <c r="G12" s="1" t="s">
        <v>878</v>
      </c>
      <c r="H12" s="1" t="s">
        <v>20</v>
      </c>
      <c r="I12" s="1" t="s">
        <v>880</v>
      </c>
      <c r="J12" s="83">
        <v>1.0</v>
      </c>
      <c r="K12" s="39"/>
      <c r="L12" s="1">
        <v>1.0</v>
      </c>
      <c r="M12" s="1" t="s">
        <v>876</v>
      </c>
      <c r="N12" s="1" t="s">
        <v>959</v>
      </c>
      <c r="O12" s="1" t="s">
        <v>878</v>
      </c>
      <c r="P12" s="1" t="s">
        <v>879</v>
      </c>
      <c r="Q12" s="1" t="s">
        <v>20</v>
      </c>
      <c r="R12" s="1" t="s">
        <v>880</v>
      </c>
    </row>
    <row r="13">
      <c r="A13" s="1" t="s">
        <v>875</v>
      </c>
      <c r="C13" s="1" t="s">
        <v>2277</v>
      </c>
      <c r="D13" s="15" t="s">
        <v>909</v>
      </c>
      <c r="E13" s="1" t="s">
        <v>170</v>
      </c>
      <c r="F13" s="15" t="s">
        <v>1099</v>
      </c>
      <c r="G13" s="1" t="s">
        <v>2644</v>
      </c>
      <c r="H13" s="1" t="s">
        <v>20</v>
      </c>
      <c r="I13" s="1" t="s">
        <v>880</v>
      </c>
      <c r="J13" s="78">
        <v>2.0</v>
      </c>
      <c r="K13" s="39"/>
      <c r="L13" s="1" t="s">
        <v>881</v>
      </c>
      <c r="M13" s="1" t="s">
        <v>876</v>
      </c>
      <c r="N13" s="1" t="s">
        <v>877</v>
      </c>
      <c r="O13" s="1" t="s">
        <v>882</v>
      </c>
      <c r="P13" s="1" t="s">
        <v>883</v>
      </c>
      <c r="Q13" s="1" t="s">
        <v>20</v>
      </c>
      <c r="R13" s="1" t="s">
        <v>880</v>
      </c>
    </row>
    <row r="14">
      <c r="A14" s="1" t="s">
        <v>875</v>
      </c>
      <c r="C14" s="1" t="s">
        <v>2277</v>
      </c>
      <c r="D14" s="15" t="s">
        <v>909</v>
      </c>
      <c r="E14" s="1" t="s">
        <v>170</v>
      </c>
      <c r="F14" s="15" t="s">
        <v>2645</v>
      </c>
      <c r="G14" s="1" t="s">
        <v>2646</v>
      </c>
      <c r="H14" s="1" t="s">
        <v>20</v>
      </c>
      <c r="I14" s="1" t="s">
        <v>880</v>
      </c>
      <c r="J14" s="84">
        <v>3.0</v>
      </c>
      <c r="K14" s="39"/>
      <c r="L14" s="1">
        <v>11.0</v>
      </c>
      <c r="M14" s="1" t="s">
        <v>884</v>
      </c>
      <c r="N14" s="1" t="s">
        <v>877</v>
      </c>
      <c r="O14" s="1" t="s">
        <v>885</v>
      </c>
      <c r="P14" s="1" t="s">
        <v>886</v>
      </c>
      <c r="Q14" s="1" t="s">
        <v>20</v>
      </c>
      <c r="R14" s="1" t="s">
        <v>880</v>
      </c>
    </row>
    <row r="15">
      <c r="A15" s="1" t="s">
        <v>875</v>
      </c>
      <c r="C15" s="1" t="s">
        <v>2277</v>
      </c>
      <c r="D15" s="15" t="s">
        <v>909</v>
      </c>
      <c r="E15" s="1" t="s">
        <v>170</v>
      </c>
      <c r="F15" s="15" t="s">
        <v>2647</v>
      </c>
      <c r="H15" s="1" t="s">
        <v>54</v>
      </c>
      <c r="I15" s="1" t="s">
        <v>880</v>
      </c>
      <c r="J15" s="85">
        <v>4.0</v>
      </c>
      <c r="K15" s="39"/>
      <c r="L15" s="1">
        <v>12.0</v>
      </c>
      <c r="M15" s="1" t="s">
        <v>884</v>
      </c>
      <c r="N15" s="1" t="s">
        <v>877</v>
      </c>
      <c r="O15" s="1" t="s">
        <v>887</v>
      </c>
      <c r="Q15" s="1" t="s">
        <v>20</v>
      </c>
      <c r="R15" s="1" t="s">
        <v>880</v>
      </c>
    </row>
    <row r="16">
      <c r="A16" s="1" t="s">
        <v>875</v>
      </c>
      <c r="C16" s="1" t="s">
        <v>2277</v>
      </c>
      <c r="D16" s="15" t="s">
        <v>909</v>
      </c>
      <c r="E16" s="1" t="s">
        <v>910</v>
      </c>
      <c r="F16" s="15" t="s">
        <v>2648</v>
      </c>
      <c r="G16" s="1" t="s">
        <v>2649</v>
      </c>
      <c r="H16" s="1" t="s">
        <v>54</v>
      </c>
      <c r="I16" s="1" t="s">
        <v>880</v>
      </c>
      <c r="J16" s="86">
        <v>5.0</v>
      </c>
      <c r="K16" s="39"/>
      <c r="L16" s="1">
        <v>13.0</v>
      </c>
      <c r="M16" s="1" t="s">
        <v>888</v>
      </c>
      <c r="N16" s="1" t="s">
        <v>877</v>
      </c>
      <c r="O16" s="1" t="s">
        <v>889</v>
      </c>
      <c r="P16" s="1" t="s">
        <v>890</v>
      </c>
      <c r="Q16" s="1" t="s">
        <v>20</v>
      </c>
      <c r="R16" s="1" t="s">
        <v>880</v>
      </c>
    </row>
    <row r="17">
      <c r="A17" s="1" t="s">
        <v>875</v>
      </c>
      <c r="C17" s="1" t="s">
        <v>2277</v>
      </c>
      <c r="D17" s="15" t="s">
        <v>909</v>
      </c>
      <c r="E17" s="1" t="s">
        <v>910</v>
      </c>
      <c r="F17" s="15" t="s">
        <v>911</v>
      </c>
      <c r="H17" s="1" t="s">
        <v>54</v>
      </c>
      <c r="I17" s="1" t="s">
        <v>880</v>
      </c>
      <c r="J17" s="87">
        <v>6.0</v>
      </c>
      <c r="K17" s="39"/>
      <c r="L17" s="1" t="s">
        <v>891</v>
      </c>
      <c r="M17" s="1" t="s">
        <v>892</v>
      </c>
      <c r="N17" s="1" t="s">
        <v>877</v>
      </c>
      <c r="O17" s="1" t="s">
        <v>893</v>
      </c>
      <c r="Q17" s="1" t="s">
        <v>20</v>
      </c>
      <c r="R17" s="1" t="s">
        <v>880</v>
      </c>
    </row>
    <row r="18">
      <c r="A18" s="1" t="s">
        <v>875</v>
      </c>
      <c r="C18" s="1" t="s">
        <v>2277</v>
      </c>
      <c r="D18" s="88" t="s">
        <v>909</v>
      </c>
      <c r="E18" s="78" t="s">
        <v>910</v>
      </c>
      <c r="F18" s="88" t="s">
        <v>2648</v>
      </c>
      <c r="G18" s="78" t="s">
        <v>2649</v>
      </c>
      <c r="H18" s="78" t="s">
        <v>54</v>
      </c>
      <c r="I18" s="78" t="s">
        <v>880</v>
      </c>
      <c r="J18" s="1">
        <v>7.0</v>
      </c>
      <c r="K18" s="39"/>
      <c r="L18" s="1">
        <v>15.0</v>
      </c>
      <c r="M18" s="1" t="s">
        <v>894</v>
      </c>
      <c r="N18" s="1" t="s">
        <v>877</v>
      </c>
      <c r="O18" s="1" t="s">
        <v>895</v>
      </c>
      <c r="P18" s="1" t="s">
        <v>896</v>
      </c>
      <c r="Q18" s="1" t="s">
        <v>20</v>
      </c>
      <c r="R18" s="1" t="s">
        <v>880</v>
      </c>
    </row>
    <row r="19">
      <c r="A19" s="1" t="s">
        <v>875</v>
      </c>
      <c r="C19" s="1" t="s">
        <v>2277</v>
      </c>
      <c r="D19" s="88" t="s">
        <v>909</v>
      </c>
      <c r="E19" s="78" t="s">
        <v>910</v>
      </c>
      <c r="F19" s="88" t="s">
        <v>2648</v>
      </c>
      <c r="G19" s="78" t="s">
        <v>2649</v>
      </c>
      <c r="H19" s="78" t="s">
        <v>54</v>
      </c>
      <c r="I19" s="78" t="s">
        <v>880</v>
      </c>
      <c r="J19" s="1">
        <v>8.0</v>
      </c>
      <c r="K19" s="39"/>
      <c r="L19" s="1" t="s">
        <v>897</v>
      </c>
      <c r="M19" s="1" t="s">
        <v>898</v>
      </c>
      <c r="N19" s="1" t="s">
        <v>899</v>
      </c>
      <c r="O19" s="1" t="s">
        <v>900</v>
      </c>
      <c r="Q19" s="89" t="s">
        <v>20</v>
      </c>
      <c r="R19" s="1" t="s">
        <v>880</v>
      </c>
    </row>
    <row r="20">
      <c r="A20" s="1" t="s">
        <v>875</v>
      </c>
      <c r="C20" s="1" t="s">
        <v>2277</v>
      </c>
      <c r="D20" s="15" t="s">
        <v>2650</v>
      </c>
      <c r="E20" s="1" t="s">
        <v>857</v>
      </c>
      <c r="F20" s="15" t="s">
        <v>2651</v>
      </c>
      <c r="H20" s="1" t="s">
        <v>39</v>
      </c>
      <c r="I20" s="1" t="s">
        <v>880</v>
      </c>
      <c r="J20" s="90">
        <v>9.0</v>
      </c>
      <c r="K20" s="39"/>
      <c r="L20" s="1" t="s">
        <v>902</v>
      </c>
      <c r="M20" s="1" t="s">
        <v>903</v>
      </c>
      <c r="N20" s="1" t="s">
        <v>899</v>
      </c>
      <c r="O20" s="1" t="s">
        <v>904</v>
      </c>
      <c r="P20" s="1" t="s">
        <v>905</v>
      </c>
      <c r="Q20" s="89" t="s">
        <v>54</v>
      </c>
      <c r="R20" s="1" t="s">
        <v>880</v>
      </c>
    </row>
    <row r="21">
      <c r="A21" s="1" t="s">
        <v>875</v>
      </c>
      <c r="C21" s="1" t="s">
        <v>2384</v>
      </c>
      <c r="D21" s="15" t="s">
        <v>876</v>
      </c>
      <c r="E21" s="1" t="s">
        <v>877</v>
      </c>
      <c r="F21" s="15" t="s">
        <v>2652</v>
      </c>
      <c r="G21" s="1" t="s">
        <v>2653</v>
      </c>
      <c r="H21" s="1" t="s">
        <v>20</v>
      </c>
      <c r="I21" s="1" t="s">
        <v>880</v>
      </c>
      <c r="J21" s="78">
        <v>10.0</v>
      </c>
      <c r="K21" s="39"/>
      <c r="L21" s="1">
        <v>18.0</v>
      </c>
      <c r="M21" s="1" t="s">
        <v>906</v>
      </c>
      <c r="N21" s="1" t="s">
        <v>907</v>
      </c>
      <c r="O21" s="1" t="s">
        <v>908</v>
      </c>
      <c r="Q21" s="1" t="s">
        <v>54</v>
      </c>
      <c r="R21" s="1" t="s">
        <v>880</v>
      </c>
    </row>
    <row r="22">
      <c r="A22" s="1" t="s">
        <v>875</v>
      </c>
      <c r="C22" s="1" t="s">
        <v>2384</v>
      </c>
      <c r="D22" s="15" t="s">
        <v>884</v>
      </c>
      <c r="E22" s="1" t="s">
        <v>877</v>
      </c>
      <c r="F22" s="15" t="s">
        <v>885</v>
      </c>
      <c r="G22" s="1" t="s">
        <v>886</v>
      </c>
      <c r="H22" s="1" t="s">
        <v>20</v>
      </c>
      <c r="I22" s="1" t="s">
        <v>880</v>
      </c>
      <c r="J22" s="83">
        <v>11.0</v>
      </c>
      <c r="K22" s="39"/>
      <c r="L22" s="1">
        <v>6.0</v>
      </c>
      <c r="M22" s="1" t="s">
        <v>909</v>
      </c>
      <c r="N22" s="1" t="s">
        <v>910</v>
      </c>
      <c r="O22" s="1" t="s">
        <v>911</v>
      </c>
      <c r="Q22" s="1" t="s">
        <v>54</v>
      </c>
      <c r="R22" s="1" t="s">
        <v>880</v>
      </c>
    </row>
    <row r="23">
      <c r="A23" s="1" t="s">
        <v>875</v>
      </c>
      <c r="C23" s="1" t="s">
        <v>2384</v>
      </c>
      <c r="D23" s="15" t="s">
        <v>884</v>
      </c>
      <c r="E23" s="1" t="s">
        <v>877</v>
      </c>
      <c r="F23" s="15" t="s">
        <v>2654</v>
      </c>
      <c r="H23" s="1" t="s">
        <v>20</v>
      </c>
      <c r="I23" s="1" t="s">
        <v>880</v>
      </c>
      <c r="J23" s="81">
        <v>12.0</v>
      </c>
      <c r="K23" s="39"/>
      <c r="L23" s="1">
        <v>19.0</v>
      </c>
      <c r="M23" s="1" t="s">
        <v>913</v>
      </c>
      <c r="N23" s="1" t="s">
        <v>914</v>
      </c>
      <c r="O23" s="1" t="s">
        <v>915</v>
      </c>
      <c r="P23" s="1" t="s">
        <v>916</v>
      </c>
      <c r="Q23" s="1" t="s">
        <v>39</v>
      </c>
      <c r="R23" s="1" t="s">
        <v>880</v>
      </c>
    </row>
    <row r="24">
      <c r="A24" s="1" t="s">
        <v>875</v>
      </c>
      <c r="C24" s="1" t="s">
        <v>2384</v>
      </c>
      <c r="D24" s="15" t="s">
        <v>2655</v>
      </c>
      <c r="E24" s="1" t="s">
        <v>877</v>
      </c>
      <c r="F24" s="15" t="s">
        <v>889</v>
      </c>
      <c r="G24" s="1" t="s">
        <v>890</v>
      </c>
      <c r="H24" s="1" t="s">
        <v>20</v>
      </c>
      <c r="I24" s="1" t="s">
        <v>880</v>
      </c>
      <c r="J24" s="91">
        <v>13.0</v>
      </c>
      <c r="K24" s="39"/>
      <c r="L24" s="1">
        <v>20.0</v>
      </c>
      <c r="M24" s="1" t="s">
        <v>917</v>
      </c>
      <c r="O24" s="1" t="s">
        <v>2392</v>
      </c>
      <c r="P24" s="1" t="s">
        <v>364</v>
      </c>
      <c r="Q24" s="1" t="s">
        <v>39</v>
      </c>
      <c r="R24" s="1" t="s">
        <v>880</v>
      </c>
    </row>
    <row r="25">
      <c r="A25" s="1" t="s">
        <v>875</v>
      </c>
      <c r="C25" s="1" t="s">
        <v>2384</v>
      </c>
      <c r="D25" s="15" t="s">
        <v>2656</v>
      </c>
      <c r="E25" s="1" t="s">
        <v>877</v>
      </c>
      <c r="F25" s="15" t="s">
        <v>2657</v>
      </c>
      <c r="H25" s="1" t="s">
        <v>20</v>
      </c>
      <c r="I25" s="1" t="s">
        <v>880</v>
      </c>
      <c r="J25" s="84">
        <v>14.0</v>
      </c>
      <c r="K25" s="39"/>
      <c r="L25" s="1" t="s">
        <v>919</v>
      </c>
      <c r="M25" s="1" t="s">
        <v>920</v>
      </c>
      <c r="N25" s="1" t="s">
        <v>857</v>
      </c>
      <c r="O25" s="1" t="s">
        <v>921</v>
      </c>
      <c r="P25" s="1" t="s">
        <v>358</v>
      </c>
      <c r="Q25" s="1" t="s">
        <v>39</v>
      </c>
      <c r="R25" s="1" t="s">
        <v>880</v>
      </c>
    </row>
    <row r="26">
      <c r="A26" s="1" t="s">
        <v>875</v>
      </c>
      <c r="C26" s="1" t="s">
        <v>2384</v>
      </c>
      <c r="D26" s="15" t="s">
        <v>2658</v>
      </c>
      <c r="E26" s="1" t="s">
        <v>877</v>
      </c>
      <c r="F26" s="15" t="s">
        <v>895</v>
      </c>
      <c r="G26" s="1" t="s">
        <v>896</v>
      </c>
      <c r="H26" s="1" t="s">
        <v>20</v>
      </c>
      <c r="I26" s="1" t="s">
        <v>880</v>
      </c>
      <c r="J26" s="83">
        <v>15.0</v>
      </c>
      <c r="K26" s="39"/>
      <c r="L26" s="1">
        <v>22.0</v>
      </c>
      <c r="M26" s="1" t="s">
        <v>922</v>
      </c>
      <c r="O26" s="1" t="s">
        <v>923</v>
      </c>
      <c r="P26" s="1" t="s">
        <v>585</v>
      </c>
      <c r="Q26" s="8"/>
      <c r="R26" s="1" t="s">
        <v>880</v>
      </c>
    </row>
    <row r="27">
      <c r="A27" s="1" t="s">
        <v>875</v>
      </c>
      <c r="C27" s="1" t="s">
        <v>2384</v>
      </c>
      <c r="D27" s="15" t="s">
        <v>2659</v>
      </c>
      <c r="E27" s="1" t="s">
        <v>899</v>
      </c>
      <c r="F27" s="15" t="s">
        <v>2660</v>
      </c>
      <c r="H27" s="1" t="s">
        <v>44</v>
      </c>
      <c r="I27" s="1" t="s">
        <v>880</v>
      </c>
      <c r="J27" s="85">
        <v>16.0</v>
      </c>
      <c r="K27" s="39"/>
      <c r="L27" s="1">
        <v>23.0</v>
      </c>
      <c r="M27" s="1" t="s">
        <v>925</v>
      </c>
      <c r="N27" s="1" t="s">
        <v>926</v>
      </c>
      <c r="O27" s="1" t="s">
        <v>927</v>
      </c>
      <c r="P27" s="1" t="s">
        <v>928</v>
      </c>
      <c r="Q27" s="1" t="s">
        <v>14</v>
      </c>
      <c r="R27" s="1" t="s">
        <v>880</v>
      </c>
    </row>
    <row r="28">
      <c r="A28" s="1" t="s">
        <v>875</v>
      </c>
      <c r="C28" s="1" t="s">
        <v>2384</v>
      </c>
      <c r="D28" s="15" t="s">
        <v>2661</v>
      </c>
      <c r="E28" s="1" t="s">
        <v>899</v>
      </c>
      <c r="F28" s="15" t="s">
        <v>2662</v>
      </c>
      <c r="G28" s="1" t="s">
        <v>905</v>
      </c>
      <c r="H28" s="1" t="s">
        <v>2388</v>
      </c>
      <c r="I28" s="1" t="s">
        <v>880</v>
      </c>
      <c r="J28" s="86">
        <v>17.0</v>
      </c>
      <c r="K28" s="39"/>
      <c r="L28" s="1">
        <v>24.0</v>
      </c>
      <c r="M28" s="1" t="s">
        <v>925</v>
      </c>
      <c r="N28" s="1" t="s">
        <v>929</v>
      </c>
      <c r="O28" s="1" t="s">
        <v>930</v>
      </c>
      <c r="P28" s="1" t="s">
        <v>931</v>
      </c>
      <c r="Q28" s="89" t="s">
        <v>54</v>
      </c>
      <c r="R28" s="1" t="s">
        <v>880</v>
      </c>
    </row>
    <row r="29">
      <c r="A29" s="1" t="s">
        <v>875</v>
      </c>
      <c r="C29" s="1" t="s">
        <v>2384</v>
      </c>
      <c r="D29" s="15" t="s">
        <v>2663</v>
      </c>
      <c r="E29" s="1" t="s">
        <v>907</v>
      </c>
      <c r="F29" s="15" t="s">
        <v>908</v>
      </c>
      <c r="H29" s="1" t="s">
        <v>54</v>
      </c>
      <c r="I29" s="1" t="s">
        <v>880</v>
      </c>
      <c r="J29" s="80">
        <v>18.0</v>
      </c>
      <c r="K29" s="39"/>
      <c r="L29" s="1">
        <v>25.0</v>
      </c>
      <c r="M29" s="1" t="s">
        <v>932</v>
      </c>
      <c r="N29" s="1" t="s">
        <v>929</v>
      </c>
      <c r="O29" s="1" t="s">
        <v>933</v>
      </c>
      <c r="P29" s="1" t="s">
        <v>358</v>
      </c>
      <c r="Q29" s="1" t="s">
        <v>39</v>
      </c>
      <c r="R29" s="1" t="s">
        <v>880</v>
      </c>
    </row>
    <row r="30">
      <c r="A30" s="1" t="s">
        <v>875</v>
      </c>
      <c r="C30" s="1" t="s">
        <v>2384</v>
      </c>
      <c r="D30" s="15" t="s">
        <v>913</v>
      </c>
      <c r="E30" s="1" t="s">
        <v>914</v>
      </c>
      <c r="F30" s="15" t="s">
        <v>915</v>
      </c>
      <c r="G30" s="1" t="s">
        <v>916</v>
      </c>
      <c r="H30" s="1" t="s">
        <v>39</v>
      </c>
      <c r="I30" s="1" t="s">
        <v>880</v>
      </c>
      <c r="J30" s="92">
        <v>19.0</v>
      </c>
      <c r="K30" s="39"/>
      <c r="L30" s="1">
        <v>25.0</v>
      </c>
      <c r="M30" s="1" t="s">
        <v>932</v>
      </c>
      <c r="N30" s="1" t="s">
        <v>929</v>
      </c>
      <c r="O30" s="1" t="s">
        <v>933</v>
      </c>
      <c r="P30" s="1" t="s">
        <v>358</v>
      </c>
      <c r="Q30" s="1" t="s">
        <v>39</v>
      </c>
      <c r="R30" s="1" t="s">
        <v>880</v>
      </c>
    </row>
    <row r="31">
      <c r="A31" s="1" t="s">
        <v>875</v>
      </c>
      <c r="C31" s="1" t="s">
        <v>2384</v>
      </c>
      <c r="D31" s="15" t="s">
        <v>917</v>
      </c>
      <c r="F31" s="15" t="s">
        <v>2392</v>
      </c>
      <c r="G31" s="1" t="s">
        <v>364</v>
      </c>
      <c r="H31" s="1" t="s">
        <v>39</v>
      </c>
      <c r="I31" s="1" t="s">
        <v>880</v>
      </c>
      <c r="J31" s="91">
        <v>20.0</v>
      </c>
      <c r="K31" s="39"/>
      <c r="L31" s="1">
        <v>26.0</v>
      </c>
      <c r="M31" s="1" t="s">
        <v>932</v>
      </c>
      <c r="O31" s="1" t="s">
        <v>934</v>
      </c>
      <c r="P31" s="1" t="s">
        <v>358</v>
      </c>
      <c r="Q31" s="1" t="s">
        <v>39</v>
      </c>
      <c r="R31" s="1" t="s">
        <v>880</v>
      </c>
    </row>
    <row r="32">
      <c r="A32" s="1" t="s">
        <v>875</v>
      </c>
      <c r="C32" s="1" t="s">
        <v>2384</v>
      </c>
      <c r="D32" s="15" t="s">
        <v>920</v>
      </c>
      <c r="F32" s="15" t="s">
        <v>921</v>
      </c>
      <c r="G32" s="1" t="s">
        <v>358</v>
      </c>
      <c r="H32" s="1" t="s">
        <v>39</v>
      </c>
      <c r="I32" s="1" t="s">
        <v>880</v>
      </c>
      <c r="J32" s="90">
        <v>21.0</v>
      </c>
      <c r="K32" s="39"/>
    </row>
    <row r="33">
      <c r="A33" s="1" t="s">
        <v>875</v>
      </c>
      <c r="C33" s="1" t="s">
        <v>2384</v>
      </c>
      <c r="D33" s="15" t="s">
        <v>922</v>
      </c>
      <c r="F33" s="15" t="s">
        <v>923</v>
      </c>
      <c r="G33" s="1" t="s">
        <v>585</v>
      </c>
      <c r="H33" s="8"/>
      <c r="I33" s="1" t="s">
        <v>880</v>
      </c>
      <c r="J33" s="93">
        <v>22.0</v>
      </c>
      <c r="K33" s="39"/>
    </row>
    <row r="34">
      <c r="A34" s="1" t="s">
        <v>875</v>
      </c>
      <c r="C34" s="1" t="s">
        <v>2384</v>
      </c>
      <c r="D34" s="15" t="s">
        <v>925</v>
      </c>
      <c r="E34" s="1" t="s">
        <v>926</v>
      </c>
      <c r="F34" s="15" t="s">
        <v>927</v>
      </c>
      <c r="G34" s="1" t="s">
        <v>928</v>
      </c>
      <c r="H34" s="1" t="s">
        <v>14</v>
      </c>
      <c r="I34" s="1" t="s">
        <v>880</v>
      </c>
      <c r="J34" s="94">
        <v>23.0</v>
      </c>
      <c r="K34" s="39"/>
    </row>
    <row r="35">
      <c r="A35" s="1" t="s">
        <v>875</v>
      </c>
      <c r="C35" s="1" t="s">
        <v>2384</v>
      </c>
      <c r="D35" s="15" t="s">
        <v>925</v>
      </c>
      <c r="E35" s="1" t="s">
        <v>929</v>
      </c>
      <c r="F35" s="15" t="s">
        <v>930</v>
      </c>
      <c r="G35" s="1" t="s">
        <v>931</v>
      </c>
      <c r="H35" s="1" t="s">
        <v>2388</v>
      </c>
      <c r="I35" s="1" t="s">
        <v>880</v>
      </c>
      <c r="J35" s="85">
        <v>24.0</v>
      </c>
      <c r="K35" s="39"/>
    </row>
    <row r="36">
      <c r="A36" s="1" t="s">
        <v>875</v>
      </c>
      <c r="C36" s="1" t="s">
        <v>2384</v>
      </c>
      <c r="D36" s="15" t="s">
        <v>932</v>
      </c>
      <c r="E36" s="1" t="s">
        <v>929</v>
      </c>
      <c r="F36" s="15" t="s">
        <v>933</v>
      </c>
      <c r="G36" s="1" t="s">
        <v>358</v>
      </c>
      <c r="H36" s="1" t="s">
        <v>39</v>
      </c>
      <c r="I36" s="1" t="s">
        <v>880</v>
      </c>
      <c r="J36" s="74">
        <v>25.0</v>
      </c>
      <c r="K36" s="39"/>
    </row>
    <row r="37">
      <c r="A37" s="1" t="s">
        <v>875</v>
      </c>
      <c r="C37" s="1" t="s">
        <v>2384</v>
      </c>
      <c r="D37" s="15" t="s">
        <v>932</v>
      </c>
      <c r="F37" s="15" t="s">
        <v>934</v>
      </c>
      <c r="G37" s="1" t="s">
        <v>358</v>
      </c>
      <c r="H37" s="1" t="s">
        <v>39</v>
      </c>
      <c r="I37" s="1" t="s">
        <v>880</v>
      </c>
      <c r="J37" s="95">
        <v>26.0</v>
      </c>
      <c r="K37" s="39"/>
    </row>
    <row r="38">
      <c r="A38" s="69"/>
      <c r="B38" s="67"/>
      <c r="C38" s="67"/>
      <c r="D38" s="96"/>
      <c r="E38" s="67"/>
      <c r="F38" s="96"/>
      <c r="G38" s="67"/>
      <c r="H38" s="67"/>
      <c r="I38" s="67"/>
      <c r="J38" s="67"/>
      <c r="K38" s="67"/>
      <c r="L38" s="67"/>
      <c r="M38" s="67"/>
      <c r="N38" s="67"/>
      <c r="O38" s="67"/>
      <c r="P38" s="67"/>
      <c r="Q38" s="67"/>
      <c r="R38" s="67"/>
      <c r="S38" s="67"/>
      <c r="T38" s="67"/>
      <c r="U38" s="67"/>
      <c r="V38" s="67"/>
      <c r="W38" s="67"/>
      <c r="X38" s="67"/>
      <c r="Y38" s="67"/>
      <c r="Z38" s="67"/>
      <c r="AA38" s="67"/>
      <c r="AB38" s="67"/>
      <c r="AC38" s="67"/>
      <c r="AD38" s="67"/>
      <c r="AE38" s="67"/>
    </row>
    <row r="39">
      <c r="A39" s="1" t="s">
        <v>935</v>
      </c>
      <c r="C39" s="1" t="s">
        <v>2277</v>
      </c>
      <c r="D39" s="97" t="s">
        <v>950</v>
      </c>
      <c r="E39" s="89" t="s">
        <v>2664</v>
      </c>
      <c r="F39" s="97" t="s">
        <v>989</v>
      </c>
      <c r="G39" s="98"/>
      <c r="H39" s="89" t="s">
        <v>44</v>
      </c>
      <c r="I39" s="89" t="s">
        <v>2665</v>
      </c>
      <c r="J39" s="89">
        <v>1.0</v>
      </c>
      <c r="K39" s="39"/>
      <c r="L39" s="1">
        <v>12.0</v>
      </c>
      <c r="M39" s="1" t="s">
        <v>936</v>
      </c>
      <c r="O39" s="1" t="s">
        <v>937</v>
      </c>
      <c r="Q39" s="81" t="s">
        <v>20</v>
      </c>
      <c r="R39" s="1" t="s">
        <v>938</v>
      </c>
    </row>
    <row r="40">
      <c r="A40" s="1" t="s">
        <v>935</v>
      </c>
      <c r="C40" s="1" t="s">
        <v>2277</v>
      </c>
      <c r="D40" s="15" t="s">
        <v>2666</v>
      </c>
      <c r="E40" s="1" t="s">
        <v>857</v>
      </c>
      <c r="F40" s="15" t="s">
        <v>2640</v>
      </c>
      <c r="H40" s="1" t="s">
        <v>39</v>
      </c>
      <c r="I40" s="1" t="s">
        <v>2665</v>
      </c>
      <c r="J40" s="81">
        <v>2.0</v>
      </c>
      <c r="K40" s="39"/>
      <c r="L40" s="1">
        <v>13.0</v>
      </c>
      <c r="M40" s="1" t="s">
        <v>939</v>
      </c>
      <c r="N40" s="1" t="s">
        <v>940</v>
      </c>
      <c r="O40" s="1" t="s">
        <v>941</v>
      </c>
      <c r="P40" s="1" t="s">
        <v>942</v>
      </c>
      <c r="Q40" s="81" t="s">
        <v>20</v>
      </c>
      <c r="R40" s="1" t="s">
        <v>938</v>
      </c>
    </row>
    <row r="41">
      <c r="A41" s="1" t="s">
        <v>935</v>
      </c>
      <c r="C41" s="1" t="s">
        <v>2277</v>
      </c>
      <c r="D41" s="15" t="s">
        <v>2666</v>
      </c>
      <c r="E41" s="1" t="s">
        <v>857</v>
      </c>
      <c r="F41" s="15" t="s">
        <v>2341</v>
      </c>
      <c r="H41" s="1" t="s">
        <v>39</v>
      </c>
      <c r="I41" s="1" t="s">
        <v>2665</v>
      </c>
      <c r="J41" s="92">
        <v>3.0</v>
      </c>
      <c r="K41" s="39"/>
      <c r="L41" s="1">
        <v>14.0</v>
      </c>
      <c r="M41" s="1" t="s">
        <v>939</v>
      </c>
      <c r="N41" s="1" t="s">
        <v>943</v>
      </c>
      <c r="O41" s="1" t="s">
        <v>944</v>
      </c>
      <c r="P41" s="1" t="s">
        <v>945</v>
      </c>
      <c r="Q41" s="81" t="s">
        <v>54</v>
      </c>
      <c r="R41" s="1" t="s">
        <v>938</v>
      </c>
    </row>
    <row r="42">
      <c r="A42" s="1" t="s">
        <v>935</v>
      </c>
      <c r="C42" s="1" t="s">
        <v>2277</v>
      </c>
      <c r="D42" s="15" t="s">
        <v>2666</v>
      </c>
      <c r="E42" s="1" t="s">
        <v>857</v>
      </c>
      <c r="F42" s="15" t="s">
        <v>2419</v>
      </c>
      <c r="H42" s="1" t="s">
        <v>39</v>
      </c>
      <c r="I42" s="1" t="s">
        <v>2665</v>
      </c>
      <c r="J42" s="92">
        <v>4.0</v>
      </c>
      <c r="K42" s="39"/>
      <c r="L42" s="1" t="s">
        <v>946</v>
      </c>
      <c r="M42" s="1" t="s">
        <v>939</v>
      </c>
      <c r="N42" s="1" t="s">
        <v>947</v>
      </c>
      <c r="O42" s="1" t="s">
        <v>948</v>
      </c>
      <c r="P42" s="1" t="s">
        <v>949</v>
      </c>
      <c r="Q42" s="1" t="s">
        <v>39</v>
      </c>
      <c r="R42" s="1" t="s">
        <v>938</v>
      </c>
    </row>
    <row r="43">
      <c r="A43" s="1" t="s">
        <v>935</v>
      </c>
      <c r="C43" s="1" t="s">
        <v>2277</v>
      </c>
      <c r="D43" s="15" t="s">
        <v>2666</v>
      </c>
      <c r="E43" s="1" t="s">
        <v>170</v>
      </c>
      <c r="F43" s="15" t="s">
        <v>828</v>
      </c>
      <c r="H43" s="1" t="s">
        <v>54</v>
      </c>
      <c r="I43" s="1" t="s">
        <v>2665</v>
      </c>
      <c r="J43" s="1">
        <v>5.0</v>
      </c>
      <c r="K43" s="39"/>
      <c r="L43" s="1">
        <v>1.0</v>
      </c>
      <c r="M43" s="1" t="s">
        <v>950</v>
      </c>
      <c r="N43" s="1" t="s">
        <v>2664</v>
      </c>
      <c r="O43" s="1" t="s">
        <v>989</v>
      </c>
      <c r="Q43" s="1" t="s">
        <v>44</v>
      </c>
      <c r="R43" s="1" t="s">
        <v>938</v>
      </c>
      <c r="S43" s="1">
        <v>1.0</v>
      </c>
    </row>
    <row r="44">
      <c r="A44" s="1" t="s">
        <v>935</v>
      </c>
      <c r="C44" s="1" t="s">
        <v>2277</v>
      </c>
      <c r="D44" s="15" t="s">
        <v>2666</v>
      </c>
      <c r="E44" s="1" t="s">
        <v>170</v>
      </c>
      <c r="F44" s="15" t="s">
        <v>2667</v>
      </c>
      <c r="H44" s="1" t="s">
        <v>54</v>
      </c>
      <c r="I44" s="1" t="s">
        <v>2665</v>
      </c>
      <c r="J44" s="1">
        <v>6.0</v>
      </c>
      <c r="K44" s="39"/>
      <c r="L44" s="1" t="s">
        <v>952</v>
      </c>
      <c r="M44" s="1" t="s">
        <v>950</v>
      </c>
      <c r="N44" s="1" t="s">
        <v>857</v>
      </c>
      <c r="O44" s="1" t="s">
        <v>953</v>
      </c>
      <c r="Q44" s="1" t="s">
        <v>39</v>
      </c>
      <c r="R44" s="1" t="s">
        <v>938</v>
      </c>
    </row>
    <row r="45">
      <c r="A45" s="1" t="s">
        <v>935</v>
      </c>
      <c r="C45" s="1" t="s">
        <v>2277</v>
      </c>
      <c r="D45" s="15" t="s">
        <v>2666</v>
      </c>
      <c r="E45" s="1" t="s">
        <v>170</v>
      </c>
      <c r="F45" s="15" t="s">
        <v>2668</v>
      </c>
      <c r="H45" s="1" t="s">
        <v>54</v>
      </c>
      <c r="I45" s="1" t="s">
        <v>2665</v>
      </c>
      <c r="J45" s="1">
        <v>7.0</v>
      </c>
      <c r="K45" s="39"/>
      <c r="L45" s="1" t="s">
        <v>954</v>
      </c>
      <c r="M45" s="1" t="s">
        <v>950</v>
      </c>
      <c r="N45" s="1" t="s">
        <v>857</v>
      </c>
      <c r="O45" s="1" t="s">
        <v>955</v>
      </c>
      <c r="Q45" s="1" t="s">
        <v>54</v>
      </c>
      <c r="R45" s="1" t="s">
        <v>938</v>
      </c>
    </row>
    <row r="46">
      <c r="A46" s="1" t="s">
        <v>935</v>
      </c>
      <c r="C46" s="1" t="s">
        <v>2277</v>
      </c>
      <c r="D46" s="15" t="s">
        <v>2669</v>
      </c>
      <c r="E46" s="1" t="s">
        <v>857</v>
      </c>
      <c r="F46" s="15" t="s">
        <v>2670</v>
      </c>
      <c r="H46" s="1" t="s">
        <v>39</v>
      </c>
      <c r="I46" s="1" t="s">
        <v>2665</v>
      </c>
      <c r="J46" s="92">
        <v>8.0</v>
      </c>
      <c r="K46" s="39"/>
    </row>
    <row r="47">
      <c r="A47" s="1" t="s">
        <v>935</v>
      </c>
      <c r="C47" s="1" t="s">
        <v>2277</v>
      </c>
      <c r="D47" s="15" t="s">
        <v>2669</v>
      </c>
      <c r="E47" s="1" t="s">
        <v>857</v>
      </c>
      <c r="F47" s="15" t="s">
        <v>2671</v>
      </c>
      <c r="H47" s="1" t="s">
        <v>39</v>
      </c>
      <c r="I47" s="1" t="s">
        <v>2665</v>
      </c>
      <c r="J47" s="92">
        <v>9.0</v>
      </c>
      <c r="K47" s="39"/>
    </row>
    <row r="48">
      <c r="A48" s="1" t="s">
        <v>935</v>
      </c>
      <c r="C48" s="1" t="s">
        <v>2277</v>
      </c>
      <c r="D48" s="15" t="s">
        <v>2669</v>
      </c>
      <c r="E48" s="1" t="s">
        <v>857</v>
      </c>
      <c r="F48" s="15" t="s">
        <v>2672</v>
      </c>
      <c r="H48" s="1" t="s">
        <v>39</v>
      </c>
      <c r="I48" s="1" t="s">
        <v>2665</v>
      </c>
      <c r="J48" s="92">
        <v>10.0</v>
      </c>
      <c r="K48" s="39"/>
    </row>
    <row r="49">
      <c r="A49" s="1" t="s">
        <v>935</v>
      </c>
      <c r="C49" s="1" t="s">
        <v>2277</v>
      </c>
      <c r="D49" s="15" t="s">
        <v>2669</v>
      </c>
      <c r="E49" s="1" t="s">
        <v>857</v>
      </c>
      <c r="F49" s="15" t="s">
        <v>2673</v>
      </c>
      <c r="H49" s="1" t="s">
        <v>39</v>
      </c>
      <c r="I49" s="1" t="s">
        <v>2665</v>
      </c>
      <c r="J49" s="92">
        <v>11.0</v>
      </c>
      <c r="K49" s="39"/>
    </row>
    <row r="50">
      <c r="A50" s="1" t="s">
        <v>935</v>
      </c>
      <c r="C50" s="1" t="s">
        <v>2303</v>
      </c>
      <c r="D50" s="15" t="s">
        <v>936</v>
      </c>
      <c r="F50" s="15" t="s">
        <v>2461</v>
      </c>
      <c r="H50" s="1" t="s">
        <v>39</v>
      </c>
      <c r="I50" s="1" t="s">
        <v>938</v>
      </c>
      <c r="J50" s="83">
        <v>12.0</v>
      </c>
      <c r="K50" s="39"/>
    </row>
    <row r="51">
      <c r="A51" s="1" t="s">
        <v>935</v>
      </c>
      <c r="C51" s="1" t="s">
        <v>2303</v>
      </c>
      <c r="D51" s="15" t="s">
        <v>939</v>
      </c>
      <c r="E51" s="1" t="s">
        <v>940</v>
      </c>
      <c r="F51" s="15" t="s">
        <v>941</v>
      </c>
      <c r="G51" s="1" t="s">
        <v>942</v>
      </c>
      <c r="H51" s="1" t="s">
        <v>39</v>
      </c>
      <c r="I51" s="1" t="s">
        <v>938</v>
      </c>
      <c r="J51" s="87">
        <v>13.0</v>
      </c>
      <c r="K51" s="39"/>
    </row>
    <row r="52">
      <c r="A52" s="1" t="s">
        <v>935</v>
      </c>
      <c r="C52" s="1" t="s">
        <v>2303</v>
      </c>
      <c r="D52" s="15" t="s">
        <v>939</v>
      </c>
      <c r="E52" s="1" t="s">
        <v>943</v>
      </c>
      <c r="F52" s="15" t="s">
        <v>944</v>
      </c>
      <c r="G52" s="1" t="s">
        <v>945</v>
      </c>
      <c r="H52" s="1" t="s">
        <v>39</v>
      </c>
      <c r="I52" s="1" t="s">
        <v>938</v>
      </c>
      <c r="J52" s="92">
        <v>14.0</v>
      </c>
      <c r="K52" s="39"/>
    </row>
    <row r="53">
      <c r="A53" s="1" t="s">
        <v>935</v>
      </c>
      <c r="C53" s="1" t="s">
        <v>2303</v>
      </c>
      <c r="D53" s="15" t="s">
        <v>939</v>
      </c>
      <c r="E53" s="1" t="s">
        <v>947</v>
      </c>
      <c r="F53" s="15" t="s">
        <v>948</v>
      </c>
      <c r="G53" s="1" t="s">
        <v>949</v>
      </c>
      <c r="H53" s="1" t="s">
        <v>39</v>
      </c>
      <c r="I53" s="1" t="s">
        <v>938</v>
      </c>
      <c r="J53" s="81">
        <v>15.0</v>
      </c>
      <c r="K53" s="39"/>
    </row>
    <row r="54">
      <c r="A54" s="69"/>
      <c r="B54" s="67"/>
      <c r="C54" s="67"/>
      <c r="D54" s="96"/>
      <c r="E54" s="67"/>
      <c r="F54" s="96"/>
      <c r="G54" s="67"/>
      <c r="H54" s="67"/>
      <c r="I54" s="67"/>
      <c r="J54" s="67"/>
      <c r="K54" s="67"/>
      <c r="L54" s="67"/>
      <c r="M54" s="67"/>
      <c r="N54" s="67"/>
      <c r="O54" s="67"/>
      <c r="P54" s="67"/>
      <c r="Q54" s="67"/>
      <c r="R54" s="67"/>
      <c r="S54" s="67"/>
      <c r="T54" s="67"/>
      <c r="U54" s="67"/>
      <c r="V54" s="67"/>
      <c r="W54" s="67"/>
      <c r="X54" s="67"/>
      <c r="Y54" s="67"/>
      <c r="Z54" s="67"/>
      <c r="AA54" s="67"/>
      <c r="AB54" s="67"/>
      <c r="AC54" s="67"/>
      <c r="AD54" s="67"/>
      <c r="AE54" s="67"/>
    </row>
    <row r="55">
      <c r="A55" s="1" t="s">
        <v>957</v>
      </c>
      <c r="C55" s="1" t="s">
        <v>2277</v>
      </c>
      <c r="D55" s="15" t="s">
        <v>2674</v>
      </c>
      <c r="F55" s="10"/>
      <c r="K55" s="39"/>
    </row>
    <row r="56">
      <c r="A56" s="1" t="s">
        <v>957</v>
      </c>
      <c r="C56" s="1" t="s">
        <v>2384</v>
      </c>
      <c r="D56" s="15" t="s">
        <v>958</v>
      </c>
      <c r="E56" s="1" t="s">
        <v>959</v>
      </c>
      <c r="F56" s="15" t="s">
        <v>960</v>
      </c>
      <c r="G56" s="1" t="s">
        <v>961</v>
      </c>
      <c r="H56" s="1" t="s">
        <v>106</v>
      </c>
      <c r="I56" s="1" t="s">
        <v>962</v>
      </c>
      <c r="J56" s="1">
        <v>1.0</v>
      </c>
      <c r="K56" s="39"/>
      <c r="L56" s="1">
        <v>1.0</v>
      </c>
      <c r="M56" s="1" t="s">
        <v>958</v>
      </c>
      <c r="N56" s="1" t="s">
        <v>959</v>
      </c>
      <c r="O56" s="1" t="s">
        <v>960</v>
      </c>
      <c r="P56" s="1" t="s">
        <v>961</v>
      </c>
      <c r="Q56" s="1" t="s">
        <v>106</v>
      </c>
      <c r="R56" s="1" t="s">
        <v>962</v>
      </c>
    </row>
    <row r="57">
      <c r="A57" s="1" t="s">
        <v>957</v>
      </c>
      <c r="C57" s="1" t="s">
        <v>2384</v>
      </c>
      <c r="D57" s="15" t="s">
        <v>963</v>
      </c>
      <c r="E57" s="1" t="s">
        <v>964</v>
      </c>
      <c r="F57" s="15" t="s">
        <v>965</v>
      </c>
      <c r="G57" s="1" t="s">
        <v>2675</v>
      </c>
      <c r="H57" s="1" t="s">
        <v>106</v>
      </c>
      <c r="I57" s="1" t="s">
        <v>962</v>
      </c>
      <c r="J57" s="1">
        <v>2.0</v>
      </c>
      <c r="K57" s="39"/>
      <c r="L57" s="1">
        <v>2.0</v>
      </c>
      <c r="M57" s="1" t="s">
        <v>963</v>
      </c>
      <c r="N57" s="1" t="s">
        <v>964</v>
      </c>
      <c r="O57" s="1" t="s">
        <v>965</v>
      </c>
      <c r="P57" s="1" t="s">
        <v>2675</v>
      </c>
      <c r="Q57" s="1" t="s">
        <v>106</v>
      </c>
      <c r="R57" s="1" t="s">
        <v>962</v>
      </c>
    </row>
    <row r="58">
      <c r="A58" s="1" t="s">
        <v>957</v>
      </c>
      <c r="C58" s="1" t="s">
        <v>2384</v>
      </c>
      <c r="D58" s="15" t="s">
        <v>963</v>
      </c>
      <c r="E58" s="1" t="s">
        <v>964</v>
      </c>
      <c r="F58" s="15" t="s">
        <v>968</v>
      </c>
      <c r="H58" s="1" t="s">
        <v>54</v>
      </c>
      <c r="I58" s="1" t="s">
        <v>962</v>
      </c>
      <c r="J58" s="1">
        <v>3.0</v>
      </c>
      <c r="K58" s="39"/>
      <c r="L58" s="1">
        <v>3.0</v>
      </c>
      <c r="M58" s="1" t="s">
        <v>963</v>
      </c>
      <c r="N58" s="1" t="s">
        <v>964</v>
      </c>
      <c r="O58" s="1" t="s">
        <v>968</v>
      </c>
      <c r="Q58" s="1" t="s">
        <v>54</v>
      </c>
      <c r="R58" s="1" t="s">
        <v>962</v>
      </c>
    </row>
    <row r="59">
      <c r="A59" s="1" t="s">
        <v>957</v>
      </c>
      <c r="C59" s="1" t="s">
        <v>2384</v>
      </c>
      <c r="D59" s="15" t="s">
        <v>963</v>
      </c>
      <c r="E59" s="1" t="s">
        <v>969</v>
      </c>
      <c r="F59" s="15" t="s">
        <v>970</v>
      </c>
      <c r="G59" s="1" t="s">
        <v>358</v>
      </c>
      <c r="H59" s="1" t="s">
        <v>54</v>
      </c>
      <c r="I59" s="1" t="s">
        <v>962</v>
      </c>
      <c r="J59" s="1">
        <v>4.0</v>
      </c>
      <c r="K59" s="39"/>
      <c r="L59" s="1">
        <v>4.0</v>
      </c>
      <c r="M59" s="1" t="s">
        <v>963</v>
      </c>
      <c r="N59" s="1" t="s">
        <v>969</v>
      </c>
      <c r="O59" s="1" t="s">
        <v>970</v>
      </c>
      <c r="P59" s="1" t="s">
        <v>358</v>
      </c>
      <c r="Q59" s="1" t="s">
        <v>54</v>
      </c>
      <c r="R59" s="1" t="s">
        <v>962</v>
      </c>
    </row>
    <row r="60">
      <c r="A60" s="1" t="s">
        <v>957</v>
      </c>
      <c r="C60" s="1" t="s">
        <v>2384</v>
      </c>
      <c r="D60" s="15" t="s">
        <v>963</v>
      </c>
      <c r="E60" s="1" t="s">
        <v>964</v>
      </c>
      <c r="F60" s="15" t="s">
        <v>971</v>
      </c>
      <c r="G60" s="1" t="s">
        <v>972</v>
      </c>
      <c r="H60" s="1" t="s">
        <v>54</v>
      </c>
      <c r="I60" s="1" t="s">
        <v>962</v>
      </c>
      <c r="J60" s="1">
        <v>5.0</v>
      </c>
      <c r="K60" s="39"/>
      <c r="L60" s="1">
        <v>6.0</v>
      </c>
      <c r="M60" s="1" t="s">
        <v>963</v>
      </c>
      <c r="N60" s="1" t="s">
        <v>964</v>
      </c>
      <c r="O60" s="1" t="s">
        <v>971</v>
      </c>
      <c r="P60" s="1" t="s">
        <v>972</v>
      </c>
      <c r="Q60" s="1" t="s">
        <v>54</v>
      </c>
      <c r="R60" s="1" t="s">
        <v>962</v>
      </c>
    </row>
    <row r="61">
      <c r="A61" s="67"/>
      <c r="B61" s="67"/>
      <c r="C61" s="67"/>
      <c r="D61" s="96"/>
      <c r="E61" s="67"/>
      <c r="F61" s="96"/>
      <c r="G61" s="67"/>
      <c r="H61" s="67"/>
      <c r="I61" s="67"/>
      <c r="J61" s="67"/>
      <c r="K61" s="67"/>
      <c r="L61" s="67"/>
      <c r="M61" s="67"/>
      <c r="N61" s="67"/>
      <c r="O61" s="67"/>
      <c r="P61" s="67"/>
      <c r="Q61" s="67"/>
      <c r="R61" s="67"/>
      <c r="S61" s="67"/>
      <c r="T61" s="67"/>
      <c r="U61" s="67"/>
      <c r="V61" s="67"/>
      <c r="W61" s="67"/>
      <c r="X61" s="67"/>
      <c r="Y61" s="67"/>
      <c r="Z61" s="67"/>
      <c r="AA61" s="67"/>
      <c r="AB61" s="67"/>
      <c r="AC61" s="67"/>
      <c r="AD61" s="67"/>
      <c r="AE61" s="67"/>
    </row>
    <row r="62">
      <c r="A62" s="1" t="s">
        <v>973</v>
      </c>
      <c r="C62" s="1" t="s">
        <v>2277</v>
      </c>
      <c r="D62" s="15" t="s">
        <v>976</v>
      </c>
      <c r="E62" s="1" t="s">
        <v>977</v>
      </c>
      <c r="F62" s="15" t="s">
        <v>978</v>
      </c>
      <c r="G62" s="1" t="s">
        <v>2676</v>
      </c>
      <c r="H62" s="1" t="s">
        <v>54</v>
      </c>
      <c r="I62" s="1" t="s">
        <v>372</v>
      </c>
      <c r="J62" s="78">
        <v>1.0</v>
      </c>
      <c r="K62" s="39"/>
      <c r="L62" s="1">
        <v>5.0</v>
      </c>
      <c r="M62" s="1" t="s">
        <v>974</v>
      </c>
      <c r="O62" s="1" t="s">
        <v>975</v>
      </c>
      <c r="P62" s="1" t="s">
        <v>434</v>
      </c>
      <c r="Q62" s="1" t="s">
        <v>39</v>
      </c>
      <c r="R62" s="1" t="s">
        <v>372</v>
      </c>
    </row>
    <row r="63">
      <c r="A63" s="1" t="s">
        <v>973</v>
      </c>
      <c r="C63" s="1" t="s">
        <v>2277</v>
      </c>
      <c r="D63" s="15" t="s">
        <v>980</v>
      </c>
      <c r="E63" s="1" t="s">
        <v>981</v>
      </c>
      <c r="F63" s="15" t="s">
        <v>2677</v>
      </c>
      <c r="G63" s="1" t="s">
        <v>982</v>
      </c>
      <c r="H63" s="1" t="s">
        <v>39</v>
      </c>
      <c r="I63" s="1" t="s">
        <v>372</v>
      </c>
      <c r="J63" s="79">
        <v>2.0</v>
      </c>
      <c r="K63" s="39"/>
      <c r="L63" s="1">
        <v>1.0</v>
      </c>
      <c r="M63" s="1" t="s">
        <v>976</v>
      </c>
      <c r="N63" s="1" t="s">
        <v>977</v>
      </c>
      <c r="O63" s="1" t="s">
        <v>978</v>
      </c>
      <c r="P63" s="1" t="s">
        <v>2676</v>
      </c>
      <c r="Q63" s="1" t="s">
        <v>54</v>
      </c>
      <c r="R63" s="1" t="s">
        <v>372</v>
      </c>
    </row>
    <row r="64">
      <c r="A64" s="1" t="s">
        <v>973</v>
      </c>
      <c r="C64" s="1" t="s">
        <v>2277</v>
      </c>
      <c r="D64" s="15" t="s">
        <v>980</v>
      </c>
      <c r="E64" s="1" t="s">
        <v>981</v>
      </c>
      <c r="F64" s="15" t="s">
        <v>985</v>
      </c>
      <c r="G64" s="1" t="s">
        <v>984</v>
      </c>
      <c r="H64" s="1" t="s">
        <v>39</v>
      </c>
      <c r="I64" s="1" t="s">
        <v>372</v>
      </c>
      <c r="J64" s="86">
        <v>3.0</v>
      </c>
      <c r="K64" s="39"/>
      <c r="L64" s="1">
        <v>4.0</v>
      </c>
      <c r="M64" s="1" t="s">
        <v>2678</v>
      </c>
      <c r="O64" s="1" t="s">
        <v>2679</v>
      </c>
      <c r="Q64" s="1" t="s">
        <v>91</v>
      </c>
      <c r="R64" s="1" t="s">
        <v>372</v>
      </c>
    </row>
    <row r="65">
      <c r="A65" s="1" t="s">
        <v>973</v>
      </c>
      <c r="C65" s="1" t="s">
        <v>2236</v>
      </c>
      <c r="D65" s="15" t="s">
        <v>2678</v>
      </c>
      <c r="F65" s="15" t="s">
        <v>2679</v>
      </c>
      <c r="H65" s="1" t="s">
        <v>91</v>
      </c>
      <c r="I65" s="1" t="s">
        <v>372</v>
      </c>
      <c r="J65" s="91">
        <v>4.0</v>
      </c>
      <c r="K65" s="39"/>
      <c r="L65" s="1">
        <v>2.0</v>
      </c>
      <c r="M65" s="1" t="s">
        <v>980</v>
      </c>
      <c r="N65" s="1" t="s">
        <v>981</v>
      </c>
      <c r="O65" s="1" t="s">
        <v>2677</v>
      </c>
      <c r="P65" s="1" t="s">
        <v>982</v>
      </c>
      <c r="Q65" s="1" t="s">
        <v>39</v>
      </c>
      <c r="R65" s="1" t="s">
        <v>372</v>
      </c>
    </row>
    <row r="66">
      <c r="A66" s="1" t="s">
        <v>973</v>
      </c>
      <c r="C66" s="1" t="s">
        <v>2236</v>
      </c>
      <c r="D66" s="15" t="s">
        <v>974</v>
      </c>
      <c r="F66" s="15" t="s">
        <v>975</v>
      </c>
      <c r="G66" s="1" t="s">
        <v>434</v>
      </c>
      <c r="H66" s="1" t="s">
        <v>39</v>
      </c>
      <c r="I66" s="1" t="s">
        <v>372</v>
      </c>
      <c r="J66" s="80">
        <v>5.0</v>
      </c>
      <c r="K66" s="39"/>
      <c r="L66" s="1">
        <v>3.0</v>
      </c>
      <c r="M66" s="1" t="s">
        <v>980</v>
      </c>
      <c r="N66" s="1" t="s">
        <v>981</v>
      </c>
      <c r="O66" s="1" t="s">
        <v>985</v>
      </c>
      <c r="P66" s="1" t="s">
        <v>984</v>
      </c>
      <c r="Q66" s="1" t="s">
        <v>39</v>
      </c>
      <c r="R66" s="1" t="s">
        <v>372</v>
      </c>
    </row>
    <row r="67">
      <c r="A67" s="99"/>
      <c r="B67" s="100"/>
      <c r="C67" s="100"/>
      <c r="D67" s="101"/>
      <c r="E67" s="100"/>
      <c r="F67" s="101"/>
      <c r="G67" s="100"/>
      <c r="H67" s="100"/>
      <c r="I67" s="100"/>
      <c r="J67" s="100"/>
      <c r="K67" s="100"/>
      <c r="L67" s="100"/>
      <c r="M67" s="100"/>
      <c r="N67" s="100"/>
      <c r="O67" s="100"/>
      <c r="P67" s="100"/>
      <c r="Q67" s="100"/>
      <c r="R67" s="100"/>
      <c r="S67" s="100"/>
      <c r="T67" s="100"/>
      <c r="U67" s="100"/>
      <c r="V67" s="100"/>
      <c r="W67" s="100"/>
      <c r="X67" s="100"/>
      <c r="Y67" s="100"/>
      <c r="Z67" s="100"/>
      <c r="AA67" s="100"/>
      <c r="AB67" s="100"/>
      <c r="AC67" s="100"/>
      <c r="AD67" s="100"/>
      <c r="AE67" s="100"/>
    </row>
    <row r="68">
      <c r="A68" s="1" t="s">
        <v>986</v>
      </c>
      <c r="C68" s="1" t="s">
        <v>2277</v>
      </c>
      <c r="D68" s="15" t="s">
        <v>987</v>
      </c>
      <c r="E68" s="1" t="s">
        <v>988</v>
      </c>
      <c r="F68" s="15" t="s">
        <v>989</v>
      </c>
      <c r="H68" s="1" t="s">
        <v>44</v>
      </c>
      <c r="I68" s="1" t="s">
        <v>2680</v>
      </c>
      <c r="J68" s="79">
        <v>1.0</v>
      </c>
      <c r="K68" s="39"/>
      <c r="L68" s="1">
        <v>1.0</v>
      </c>
      <c r="M68" s="1" t="s">
        <v>987</v>
      </c>
      <c r="O68" s="1" t="s">
        <v>988</v>
      </c>
      <c r="P68" s="1" t="s">
        <v>989</v>
      </c>
      <c r="Q68" s="1" t="s">
        <v>44</v>
      </c>
      <c r="R68" s="1" t="s">
        <v>990</v>
      </c>
    </row>
    <row r="69">
      <c r="A69" s="1" t="s">
        <v>986</v>
      </c>
      <c r="C69" s="1" t="s">
        <v>2277</v>
      </c>
      <c r="D69" s="15" t="s">
        <v>987</v>
      </c>
      <c r="E69" s="1" t="s">
        <v>191</v>
      </c>
      <c r="F69" s="15" t="s">
        <v>2681</v>
      </c>
      <c r="H69" s="1" t="s">
        <v>44</v>
      </c>
      <c r="I69" s="1" t="s">
        <v>2680</v>
      </c>
      <c r="J69" s="91">
        <v>2.0</v>
      </c>
      <c r="K69" s="39"/>
      <c r="L69" s="1">
        <v>2.0</v>
      </c>
      <c r="M69" s="1" t="s">
        <v>987</v>
      </c>
      <c r="N69" s="1" t="s">
        <v>191</v>
      </c>
      <c r="O69" s="1" t="s">
        <v>991</v>
      </c>
      <c r="P69" s="1" t="s">
        <v>989</v>
      </c>
      <c r="Q69" s="1" t="s">
        <v>44</v>
      </c>
      <c r="R69" s="1" t="s">
        <v>990</v>
      </c>
    </row>
    <row r="70">
      <c r="A70" s="1" t="s">
        <v>986</v>
      </c>
      <c r="C70" s="1" t="s">
        <v>2277</v>
      </c>
      <c r="D70" s="15" t="s">
        <v>992</v>
      </c>
      <c r="E70" s="1" t="s">
        <v>191</v>
      </c>
      <c r="F70" s="15" t="s">
        <v>993</v>
      </c>
      <c r="H70" s="1" t="s">
        <v>106</v>
      </c>
      <c r="I70" s="1" t="s">
        <v>2680</v>
      </c>
      <c r="J70" s="92">
        <v>3.0</v>
      </c>
      <c r="K70" s="39"/>
      <c r="L70" s="1">
        <v>3.0</v>
      </c>
      <c r="M70" s="1" t="s">
        <v>992</v>
      </c>
      <c r="N70" s="1" t="s">
        <v>191</v>
      </c>
      <c r="O70" s="1" t="s">
        <v>993</v>
      </c>
      <c r="P70" s="1" t="s">
        <v>989</v>
      </c>
      <c r="Q70" s="1" t="s">
        <v>106</v>
      </c>
      <c r="R70" s="1" t="s">
        <v>990</v>
      </c>
    </row>
    <row r="71">
      <c r="A71" s="1" t="s">
        <v>986</v>
      </c>
      <c r="C71" s="1" t="s">
        <v>2277</v>
      </c>
      <c r="D71" s="15" t="s">
        <v>2682</v>
      </c>
      <c r="E71" s="1" t="s">
        <v>2683</v>
      </c>
      <c r="F71" s="15" t="s">
        <v>2684</v>
      </c>
      <c r="H71" s="1" t="s">
        <v>14</v>
      </c>
      <c r="I71" s="1" t="s">
        <v>2680</v>
      </c>
      <c r="J71" s="80">
        <v>4.0</v>
      </c>
      <c r="K71" s="39"/>
      <c r="L71" s="1" t="s">
        <v>994</v>
      </c>
      <c r="M71" s="1" t="s">
        <v>995</v>
      </c>
      <c r="N71" s="1" t="s">
        <v>996</v>
      </c>
      <c r="O71" s="1" t="s">
        <v>997</v>
      </c>
      <c r="P71" s="1" t="s">
        <v>998</v>
      </c>
      <c r="Q71" s="1" t="s">
        <v>14</v>
      </c>
      <c r="R71" s="1" t="s">
        <v>990</v>
      </c>
    </row>
    <row r="72">
      <c r="A72" s="1" t="s">
        <v>986</v>
      </c>
      <c r="C72" s="1" t="s">
        <v>2277</v>
      </c>
      <c r="D72" s="15" t="s">
        <v>2682</v>
      </c>
      <c r="E72" s="1" t="s">
        <v>2683</v>
      </c>
      <c r="F72" s="15" t="s">
        <v>2685</v>
      </c>
      <c r="H72" s="1" t="s">
        <v>14</v>
      </c>
      <c r="I72" s="1" t="s">
        <v>2680</v>
      </c>
      <c r="J72" s="83">
        <v>5.0</v>
      </c>
      <c r="K72" s="39"/>
      <c r="L72" s="1" t="s">
        <v>999</v>
      </c>
      <c r="M72" s="1" t="s">
        <v>995</v>
      </c>
      <c r="N72" s="1" t="s">
        <v>996</v>
      </c>
      <c r="O72" s="1" t="s">
        <v>1000</v>
      </c>
      <c r="P72" s="1" t="s">
        <v>1001</v>
      </c>
      <c r="Q72" s="1" t="s">
        <v>14</v>
      </c>
      <c r="R72" s="1" t="s">
        <v>990</v>
      </c>
    </row>
    <row r="73">
      <c r="A73" s="1" t="s">
        <v>986</v>
      </c>
      <c r="C73" s="1" t="s">
        <v>2277</v>
      </c>
      <c r="D73" s="15" t="s">
        <v>2682</v>
      </c>
      <c r="E73" s="1" t="s">
        <v>170</v>
      </c>
      <c r="F73" s="15" t="s">
        <v>2686</v>
      </c>
      <c r="H73" s="1" t="s">
        <v>54</v>
      </c>
      <c r="I73" s="1" t="s">
        <v>2680</v>
      </c>
      <c r="J73" s="102">
        <v>6.0</v>
      </c>
      <c r="K73" s="39"/>
      <c r="L73" s="1" t="s">
        <v>1002</v>
      </c>
      <c r="M73" s="1" t="s">
        <v>995</v>
      </c>
      <c r="N73" s="1" t="s">
        <v>1003</v>
      </c>
      <c r="O73" s="1" t="s">
        <v>1004</v>
      </c>
      <c r="P73" s="1" t="s">
        <v>1005</v>
      </c>
      <c r="Q73" s="1" t="s">
        <v>54</v>
      </c>
      <c r="R73" s="1" t="s">
        <v>990</v>
      </c>
      <c r="T73" s="8"/>
      <c r="V73" s="8"/>
      <c r="W73" s="8"/>
    </row>
    <row r="74">
      <c r="A74" s="1" t="s">
        <v>986</v>
      </c>
      <c r="C74" s="1" t="s">
        <v>2277</v>
      </c>
      <c r="D74" s="15" t="s">
        <v>1013</v>
      </c>
      <c r="E74" s="1" t="s">
        <v>2683</v>
      </c>
      <c r="F74" s="15" t="s">
        <v>46</v>
      </c>
      <c r="H74" s="1" t="s">
        <v>20</v>
      </c>
      <c r="I74" s="1" t="s">
        <v>2680</v>
      </c>
      <c r="J74" s="103">
        <v>7.0</v>
      </c>
      <c r="K74" s="39"/>
      <c r="L74" s="1">
        <v>13.0</v>
      </c>
      <c r="M74" s="1" t="s">
        <v>995</v>
      </c>
      <c r="N74" s="1" t="s">
        <v>996</v>
      </c>
      <c r="O74" s="1" t="s">
        <v>1006</v>
      </c>
      <c r="P74" s="93" t="s">
        <v>1007</v>
      </c>
      <c r="Q74" s="1" t="s">
        <v>14</v>
      </c>
      <c r="R74" s="1" t="s">
        <v>990</v>
      </c>
    </row>
    <row r="75">
      <c r="A75" s="1" t="s">
        <v>986</v>
      </c>
      <c r="C75" s="1" t="s">
        <v>2277</v>
      </c>
      <c r="D75" s="15" t="s">
        <v>1013</v>
      </c>
      <c r="E75" s="1" t="s">
        <v>2683</v>
      </c>
      <c r="F75" s="15" t="s">
        <v>1014</v>
      </c>
      <c r="H75" s="1" t="s">
        <v>20</v>
      </c>
      <c r="I75" s="1" t="s">
        <v>2680</v>
      </c>
      <c r="J75" s="103">
        <v>8.0</v>
      </c>
      <c r="K75" s="39"/>
      <c r="L75" s="1" t="s">
        <v>1008</v>
      </c>
      <c r="M75" s="1" t="s">
        <v>1009</v>
      </c>
      <c r="N75" s="1" t="s">
        <v>996</v>
      </c>
      <c r="O75" s="1" t="s">
        <v>2687</v>
      </c>
      <c r="P75" s="1" t="s">
        <v>1011</v>
      </c>
      <c r="Q75" s="1" t="s">
        <v>20</v>
      </c>
      <c r="R75" s="1" t="s">
        <v>990</v>
      </c>
    </row>
    <row r="76">
      <c r="A76" s="1" t="s">
        <v>986</v>
      </c>
      <c r="C76" s="1" t="s">
        <v>2277</v>
      </c>
      <c r="D76" s="15" t="s">
        <v>1019</v>
      </c>
      <c r="E76" s="1" t="s">
        <v>910</v>
      </c>
      <c r="F76" s="15" t="s">
        <v>1023</v>
      </c>
      <c r="H76" s="1" t="s">
        <v>54</v>
      </c>
      <c r="I76" s="1" t="s">
        <v>2680</v>
      </c>
      <c r="J76" s="104">
        <v>9.0</v>
      </c>
      <c r="K76" s="39"/>
      <c r="L76" s="1" t="s">
        <v>1012</v>
      </c>
      <c r="M76" s="1" t="s">
        <v>1013</v>
      </c>
      <c r="N76" s="1" t="s">
        <v>996</v>
      </c>
      <c r="O76" s="1" t="s">
        <v>1014</v>
      </c>
      <c r="P76" s="1" t="s">
        <v>1011</v>
      </c>
      <c r="Q76" s="1" t="s">
        <v>20</v>
      </c>
      <c r="R76" s="1" t="s">
        <v>990</v>
      </c>
    </row>
    <row r="77">
      <c r="A77" s="1" t="s">
        <v>986</v>
      </c>
      <c r="C77" s="1" t="s">
        <v>2277</v>
      </c>
      <c r="D77" s="15" t="s">
        <v>1019</v>
      </c>
      <c r="E77" s="1" t="s">
        <v>910</v>
      </c>
      <c r="F77" s="15" t="s">
        <v>2688</v>
      </c>
      <c r="H77" s="1" t="s">
        <v>39</v>
      </c>
      <c r="I77" s="1" t="s">
        <v>2680</v>
      </c>
      <c r="J77" s="90">
        <v>10.0</v>
      </c>
      <c r="K77" s="39"/>
      <c r="L77" s="1">
        <v>17.0</v>
      </c>
      <c r="M77" s="1" t="s">
        <v>1009</v>
      </c>
      <c r="N77" s="1" t="s">
        <v>996</v>
      </c>
      <c r="O77" s="1" t="s">
        <v>1015</v>
      </c>
      <c r="P77" s="1" t="s">
        <v>1016</v>
      </c>
      <c r="Q77" s="1" t="s">
        <v>20</v>
      </c>
      <c r="R77" s="1" t="s">
        <v>990</v>
      </c>
    </row>
    <row r="78">
      <c r="A78" s="1" t="s">
        <v>986</v>
      </c>
      <c r="C78" s="1" t="s">
        <v>2277</v>
      </c>
      <c r="D78" s="15" t="s">
        <v>1019</v>
      </c>
      <c r="E78" s="1" t="s">
        <v>910</v>
      </c>
      <c r="F78" s="15" t="s">
        <v>2689</v>
      </c>
      <c r="H78" s="1" t="s">
        <v>39</v>
      </c>
      <c r="I78" s="1" t="s">
        <v>2680</v>
      </c>
      <c r="J78" s="90">
        <v>11.0</v>
      </c>
      <c r="K78" s="39"/>
      <c r="L78" s="1">
        <v>18.0</v>
      </c>
      <c r="M78" s="1" t="s">
        <v>1009</v>
      </c>
      <c r="N78" s="1" t="s">
        <v>996</v>
      </c>
      <c r="O78" s="1" t="s">
        <v>1017</v>
      </c>
      <c r="P78" s="1" t="s">
        <v>1011</v>
      </c>
      <c r="Q78" s="1" t="s">
        <v>20</v>
      </c>
      <c r="R78" s="1" t="s">
        <v>990</v>
      </c>
    </row>
    <row r="79">
      <c r="A79" s="1" t="s">
        <v>986</v>
      </c>
      <c r="C79" s="1" t="s">
        <v>2277</v>
      </c>
      <c r="D79" s="15" t="s">
        <v>1019</v>
      </c>
      <c r="E79" s="1" t="s">
        <v>910</v>
      </c>
      <c r="F79" s="15" t="s">
        <v>2421</v>
      </c>
      <c r="H79" s="1" t="s">
        <v>39</v>
      </c>
      <c r="I79" s="1" t="s">
        <v>2680</v>
      </c>
      <c r="J79" s="90">
        <v>12.0</v>
      </c>
      <c r="K79" s="39"/>
      <c r="L79" s="1" t="s">
        <v>919</v>
      </c>
      <c r="M79" s="1" t="s">
        <v>1019</v>
      </c>
      <c r="N79" s="1" t="s">
        <v>1020</v>
      </c>
      <c r="O79" s="1" t="s">
        <v>1021</v>
      </c>
      <c r="Q79" s="1" t="s">
        <v>54</v>
      </c>
      <c r="R79" s="1" t="s">
        <v>990</v>
      </c>
    </row>
    <row r="80">
      <c r="A80" s="1" t="s">
        <v>986</v>
      </c>
      <c r="C80" s="1" t="s">
        <v>2572</v>
      </c>
      <c r="D80" s="15" t="s">
        <v>995</v>
      </c>
      <c r="E80" s="1" t="s">
        <v>996</v>
      </c>
      <c r="F80" s="15" t="s">
        <v>1006</v>
      </c>
      <c r="H80" s="1" t="s">
        <v>14</v>
      </c>
      <c r="I80" s="1" t="s">
        <v>990</v>
      </c>
      <c r="J80" s="79">
        <v>13.0</v>
      </c>
      <c r="K80" s="39"/>
      <c r="L80" s="1">
        <v>20.0</v>
      </c>
      <c r="M80" s="1" t="s">
        <v>1025</v>
      </c>
      <c r="N80" s="1" t="s">
        <v>1026</v>
      </c>
      <c r="O80" s="1" t="s">
        <v>933</v>
      </c>
      <c r="P80" s="1"/>
      <c r="Q80" s="1" t="s">
        <v>39</v>
      </c>
      <c r="R80" s="1" t="s">
        <v>990</v>
      </c>
    </row>
    <row r="81">
      <c r="A81" s="1" t="s">
        <v>986</v>
      </c>
      <c r="C81" s="1" t="s">
        <v>2572</v>
      </c>
      <c r="D81" s="15" t="s">
        <v>995</v>
      </c>
      <c r="E81" s="1" t="s">
        <v>996</v>
      </c>
      <c r="F81" s="15" t="s">
        <v>1000</v>
      </c>
      <c r="G81" s="1" t="s">
        <v>1001</v>
      </c>
      <c r="H81" s="1" t="s">
        <v>14</v>
      </c>
      <c r="I81" s="1" t="s">
        <v>990</v>
      </c>
      <c r="J81" s="83">
        <v>14.0</v>
      </c>
      <c r="K81" s="39"/>
      <c r="L81" s="1" t="s">
        <v>1028</v>
      </c>
      <c r="M81" s="1" t="s">
        <v>1025</v>
      </c>
      <c r="N81" s="1" t="s">
        <v>1026</v>
      </c>
      <c r="O81" s="1" t="s">
        <v>1029</v>
      </c>
      <c r="P81" s="1"/>
      <c r="Q81" s="1" t="s">
        <v>39</v>
      </c>
      <c r="R81" s="1" t="s">
        <v>990</v>
      </c>
    </row>
    <row r="82">
      <c r="A82" s="1" t="s">
        <v>986</v>
      </c>
      <c r="C82" s="1" t="s">
        <v>2572</v>
      </c>
      <c r="D82" s="15" t="s">
        <v>995</v>
      </c>
      <c r="E82" s="1" t="s">
        <v>996</v>
      </c>
      <c r="F82" s="15" t="s">
        <v>997</v>
      </c>
      <c r="G82" s="1" t="s">
        <v>998</v>
      </c>
      <c r="H82" s="1" t="s">
        <v>14</v>
      </c>
      <c r="I82" s="1" t="s">
        <v>990</v>
      </c>
      <c r="J82" s="80">
        <v>15.0</v>
      </c>
      <c r="K82" s="39"/>
    </row>
    <row r="83">
      <c r="A83" s="1" t="s">
        <v>986</v>
      </c>
      <c r="C83" s="1" t="s">
        <v>2572</v>
      </c>
      <c r="D83" s="15" t="s">
        <v>995</v>
      </c>
      <c r="E83" s="1" t="s">
        <v>1003</v>
      </c>
      <c r="F83" s="15" t="s">
        <v>1004</v>
      </c>
      <c r="G83" s="1" t="s">
        <v>1005</v>
      </c>
      <c r="H83" s="1" t="s">
        <v>54</v>
      </c>
      <c r="I83" s="1" t="s">
        <v>990</v>
      </c>
      <c r="J83" s="102">
        <v>16.0</v>
      </c>
      <c r="K83" s="39"/>
    </row>
    <row r="84">
      <c r="A84" s="1" t="s">
        <v>986</v>
      </c>
      <c r="C84" s="1" t="s">
        <v>2572</v>
      </c>
      <c r="D84" s="15" t="s">
        <v>1009</v>
      </c>
      <c r="E84" s="1" t="s">
        <v>996</v>
      </c>
      <c r="F84" s="15" t="s">
        <v>1015</v>
      </c>
      <c r="G84" s="1" t="s">
        <v>1016</v>
      </c>
      <c r="H84" s="1" t="s">
        <v>20</v>
      </c>
      <c r="I84" s="1" t="s">
        <v>990</v>
      </c>
      <c r="J84" s="105">
        <v>17.0</v>
      </c>
      <c r="K84" s="39"/>
    </row>
    <row r="85">
      <c r="A85" s="1" t="s">
        <v>986</v>
      </c>
      <c r="C85" s="1" t="s">
        <v>2572</v>
      </c>
      <c r="D85" s="15" t="s">
        <v>1009</v>
      </c>
      <c r="E85" s="1" t="s">
        <v>996</v>
      </c>
      <c r="F85" s="15" t="s">
        <v>1017</v>
      </c>
      <c r="G85" s="1" t="s">
        <v>1011</v>
      </c>
      <c r="H85" s="1" t="s">
        <v>20</v>
      </c>
      <c r="I85" s="1" t="s">
        <v>990</v>
      </c>
      <c r="J85" s="106">
        <v>18.0</v>
      </c>
      <c r="K85" s="39"/>
    </row>
    <row r="86">
      <c r="A86" s="1" t="s">
        <v>986</v>
      </c>
      <c r="C86" s="1" t="s">
        <v>2572</v>
      </c>
      <c r="D86" s="15" t="s">
        <v>1009</v>
      </c>
      <c r="E86" s="1" t="s">
        <v>996</v>
      </c>
      <c r="F86" s="15" t="s">
        <v>2690</v>
      </c>
      <c r="G86" s="1" t="s">
        <v>1011</v>
      </c>
      <c r="H86" s="1" t="s">
        <v>20</v>
      </c>
      <c r="I86" s="1" t="s">
        <v>990</v>
      </c>
      <c r="J86" s="103">
        <v>19.0</v>
      </c>
      <c r="K86" s="39"/>
    </row>
    <row r="87">
      <c r="A87" s="1" t="s">
        <v>986</v>
      </c>
      <c r="C87" s="1" t="s">
        <v>2572</v>
      </c>
      <c r="D87" s="15" t="s">
        <v>1025</v>
      </c>
      <c r="E87" s="1" t="s">
        <v>1026</v>
      </c>
      <c r="F87" s="15" t="s">
        <v>933</v>
      </c>
      <c r="G87" s="1"/>
      <c r="H87" s="1" t="s">
        <v>39</v>
      </c>
      <c r="I87" s="1" t="s">
        <v>990</v>
      </c>
      <c r="J87" s="80">
        <v>20.0</v>
      </c>
      <c r="K87" s="39"/>
    </row>
    <row r="88">
      <c r="A88" s="1" t="s">
        <v>986</v>
      </c>
      <c r="C88" s="1" t="s">
        <v>2572</v>
      </c>
      <c r="D88" s="15" t="s">
        <v>1025</v>
      </c>
      <c r="E88" s="1" t="s">
        <v>2691</v>
      </c>
      <c r="F88" s="15" t="s">
        <v>2692</v>
      </c>
      <c r="G88" s="1"/>
      <c r="H88" s="1" t="s">
        <v>54</v>
      </c>
      <c r="I88" s="1" t="s">
        <v>990</v>
      </c>
      <c r="J88" s="104">
        <v>21.0</v>
      </c>
      <c r="K88" s="39"/>
    </row>
    <row r="89">
      <c r="A89" s="1" t="s">
        <v>986</v>
      </c>
      <c r="C89" s="1" t="s">
        <v>2572</v>
      </c>
      <c r="D89" s="15" t="s">
        <v>1025</v>
      </c>
      <c r="E89" s="1" t="s">
        <v>1026</v>
      </c>
      <c r="F89" s="15" t="s">
        <v>1029</v>
      </c>
      <c r="G89" s="1"/>
      <c r="H89" s="1" t="s">
        <v>39</v>
      </c>
      <c r="I89" s="1" t="s">
        <v>990</v>
      </c>
      <c r="J89" s="90">
        <v>22.0</v>
      </c>
      <c r="K89" s="39"/>
    </row>
    <row r="90">
      <c r="A90" s="69"/>
      <c r="B90" s="67"/>
      <c r="C90" s="67"/>
      <c r="D90" s="96"/>
      <c r="E90" s="67"/>
      <c r="F90" s="96"/>
      <c r="G90" s="67"/>
      <c r="H90" s="67"/>
      <c r="I90" s="67"/>
      <c r="J90" s="67"/>
      <c r="K90" s="67"/>
      <c r="L90" s="67"/>
      <c r="M90" s="67"/>
      <c r="N90" s="67"/>
      <c r="O90" s="67"/>
      <c r="P90" s="67"/>
      <c r="Q90" s="67"/>
      <c r="R90" s="67"/>
      <c r="S90" s="67"/>
      <c r="T90" s="67"/>
      <c r="U90" s="67"/>
      <c r="V90" s="67"/>
      <c r="W90" s="67"/>
      <c r="X90" s="67"/>
      <c r="Y90" s="67"/>
      <c r="Z90" s="67"/>
      <c r="AA90" s="67"/>
      <c r="AB90" s="67"/>
      <c r="AC90" s="67"/>
      <c r="AD90" s="67"/>
      <c r="AE90" s="67"/>
    </row>
    <row r="91">
      <c r="A91" s="1" t="s">
        <v>1030</v>
      </c>
      <c r="C91" s="1" t="s">
        <v>2277</v>
      </c>
      <c r="D91" s="15" t="s">
        <v>1032</v>
      </c>
      <c r="E91" s="1" t="s">
        <v>2693</v>
      </c>
      <c r="F91" s="15" t="s">
        <v>989</v>
      </c>
      <c r="H91" s="1" t="s">
        <v>44</v>
      </c>
      <c r="I91" s="1" t="s">
        <v>1034</v>
      </c>
      <c r="J91" s="80">
        <v>1.0</v>
      </c>
      <c r="K91" s="39"/>
      <c r="L91" s="1" t="s">
        <v>1031</v>
      </c>
      <c r="M91" s="1" t="s">
        <v>1032</v>
      </c>
      <c r="O91" s="1" t="s">
        <v>1033</v>
      </c>
      <c r="P91" s="1" t="s">
        <v>989</v>
      </c>
      <c r="Q91" s="1" t="s">
        <v>44</v>
      </c>
      <c r="R91" s="1" t="s">
        <v>1034</v>
      </c>
    </row>
    <row r="92">
      <c r="A92" s="1" t="s">
        <v>1030</v>
      </c>
      <c r="C92" s="1" t="s">
        <v>2277</v>
      </c>
      <c r="D92" s="15" t="s">
        <v>1035</v>
      </c>
      <c r="E92" s="1" t="s">
        <v>1036</v>
      </c>
      <c r="F92" s="15" t="s">
        <v>1037</v>
      </c>
      <c r="H92" s="1" t="s">
        <v>20</v>
      </c>
      <c r="I92" s="1" t="s">
        <v>1034</v>
      </c>
      <c r="J92" s="83">
        <v>2.0</v>
      </c>
      <c r="K92" s="39"/>
      <c r="L92" s="1">
        <v>2.0</v>
      </c>
      <c r="M92" s="1" t="s">
        <v>1035</v>
      </c>
      <c r="N92" s="1" t="s">
        <v>1036</v>
      </c>
      <c r="O92" s="1" t="s">
        <v>1037</v>
      </c>
      <c r="Q92" s="1" t="s">
        <v>20</v>
      </c>
      <c r="R92" s="1" t="s">
        <v>1034</v>
      </c>
    </row>
    <row r="93">
      <c r="A93" s="1" t="s">
        <v>1030</v>
      </c>
      <c r="C93" s="1" t="s">
        <v>2277</v>
      </c>
      <c r="D93" s="15" t="s">
        <v>2694</v>
      </c>
      <c r="E93" s="1" t="s">
        <v>1039</v>
      </c>
      <c r="F93" s="15" t="s">
        <v>1040</v>
      </c>
      <c r="H93" s="1" t="s">
        <v>54</v>
      </c>
      <c r="I93" s="1" t="s">
        <v>1034</v>
      </c>
      <c r="J93" s="79">
        <v>3.0</v>
      </c>
      <c r="K93" s="39"/>
      <c r="L93" s="1">
        <v>3.0</v>
      </c>
      <c r="M93" s="1" t="s">
        <v>1038</v>
      </c>
      <c r="N93" s="1" t="s">
        <v>1039</v>
      </c>
      <c r="O93" s="1" t="s">
        <v>1040</v>
      </c>
      <c r="P93" s="93" t="s">
        <v>1041</v>
      </c>
      <c r="Q93" s="1" t="s">
        <v>54</v>
      </c>
      <c r="R93" s="1" t="s">
        <v>1034</v>
      </c>
    </row>
    <row r="94">
      <c r="A94" s="1" t="s">
        <v>1030</v>
      </c>
      <c r="C94" s="1" t="s">
        <v>2277</v>
      </c>
      <c r="D94" s="15" t="s">
        <v>2694</v>
      </c>
      <c r="E94" s="1" t="s">
        <v>1040</v>
      </c>
      <c r="F94" s="15" t="s">
        <v>2695</v>
      </c>
      <c r="G94" s="1" t="s">
        <v>1045</v>
      </c>
      <c r="H94" s="1" t="s">
        <v>54</v>
      </c>
      <c r="I94" s="1" t="s">
        <v>1034</v>
      </c>
      <c r="J94" s="81">
        <v>4.0</v>
      </c>
      <c r="K94" s="39"/>
      <c r="L94" s="1" t="s">
        <v>1042</v>
      </c>
      <c r="M94" s="1" t="s">
        <v>1043</v>
      </c>
      <c r="N94" s="1" t="s">
        <v>1040</v>
      </c>
      <c r="O94" s="1" t="s">
        <v>1044</v>
      </c>
      <c r="P94" s="1" t="s">
        <v>1045</v>
      </c>
      <c r="Q94" s="1" t="s">
        <v>54</v>
      </c>
      <c r="R94" s="1" t="s">
        <v>1034</v>
      </c>
    </row>
    <row r="95">
      <c r="A95" s="1" t="s">
        <v>1030</v>
      </c>
      <c r="C95" s="1" t="s">
        <v>2277</v>
      </c>
      <c r="D95" s="15" t="s">
        <v>1051</v>
      </c>
      <c r="E95" s="1" t="s">
        <v>2696</v>
      </c>
      <c r="F95" s="15" t="s">
        <v>2647</v>
      </c>
      <c r="H95" s="1" t="s">
        <v>54</v>
      </c>
      <c r="I95" s="1" t="s">
        <v>1034</v>
      </c>
      <c r="J95" s="91">
        <v>5.0</v>
      </c>
      <c r="K95" s="39"/>
      <c r="L95" s="1">
        <v>7.0</v>
      </c>
      <c r="M95" s="1" t="s">
        <v>1046</v>
      </c>
      <c r="N95" s="1" t="s">
        <v>1047</v>
      </c>
      <c r="O95" s="1" t="s">
        <v>1048</v>
      </c>
      <c r="P95" s="8" t="s">
        <v>1049</v>
      </c>
      <c r="Q95" s="1" t="s">
        <v>20</v>
      </c>
      <c r="R95" s="65" t="s">
        <v>1034</v>
      </c>
    </row>
    <row r="96">
      <c r="A96" s="1" t="s">
        <v>1030</v>
      </c>
      <c r="C96" s="1" t="s">
        <v>2277</v>
      </c>
      <c r="D96" s="15" t="s">
        <v>1051</v>
      </c>
      <c r="E96" s="1" t="s">
        <v>2696</v>
      </c>
      <c r="F96" s="15" t="s">
        <v>2697</v>
      </c>
      <c r="H96" s="1" t="s">
        <v>54</v>
      </c>
      <c r="I96" s="1" t="s">
        <v>1034</v>
      </c>
      <c r="J96" s="103">
        <v>6.0</v>
      </c>
      <c r="K96" s="39"/>
      <c r="L96" s="1" t="s">
        <v>1050</v>
      </c>
      <c r="M96" s="1" t="s">
        <v>1051</v>
      </c>
      <c r="O96" s="1" t="s">
        <v>1052</v>
      </c>
      <c r="P96" s="1" t="s">
        <v>1053</v>
      </c>
      <c r="Q96" s="81" t="s">
        <v>20</v>
      </c>
      <c r="R96" s="1" t="s">
        <v>1034</v>
      </c>
    </row>
    <row r="97">
      <c r="A97" s="1" t="s">
        <v>1030</v>
      </c>
      <c r="C97" s="1" t="s">
        <v>2236</v>
      </c>
      <c r="D97" s="15" t="s">
        <v>1046</v>
      </c>
      <c r="E97" s="1" t="s">
        <v>1047</v>
      </c>
      <c r="F97" s="15" t="s">
        <v>1048</v>
      </c>
      <c r="G97" s="8" t="s">
        <v>1049</v>
      </c>
      <c r="H97" s="1" t="s">
        <v>20</v>
      </c>
      <c r="I97" s="1" t="s">
        <v>452</v>
      </c>
      <c r="J97" s="84">
        <v>7.0</v>
      </c>
      <c r="K97" s="39"/>
      <c r="L97" s="1" t="s">
        <v>1054</v>
      </c>
      <c r="M97" s="1" t="s">
        <v>1055</v>
      </c>
      <c r="N97" s="1" t="s">
        <v>1056</v>
      </c>
      <c r="O97" s="1" t="s">
        <v>719</v>
      </c>
      <c r="P97" s="1" t="s">
        <v>434</v>
      </c>
      <c r="Q97" s="1" t="s">
        <v>39</v>
      </c>
      <c r="R97" s="1" t="s">
        <v>1034</v>
      </c>
    </row>
    <row r="98">
      <c r="A98" s="1" t="s">
        <v>1030</v>
      </c>
      <c r="C98" s="1" t="s">
        <v>2236</v>
      </c>
      <c r="D98" s="15" t="s">
        <v>2698</v>
      </c>
      <c r="E98" s="1" t="s">
        <v>2699</v>
      </c>
      <c r="F98" s="15" t="s">
        <v>2700</v>
      </c>
      <c r="G98" s="1" t="s">
        <v>2701</v>
      </c>
      <c r="H98" s="1" t="s">
        <v>54</v>
      </c>
      <c r="I98" s="1" t="s">
        <v>452</v>
      </c>
      <c r="J98" s="81">
        <v>8.0</v>
      </c>
      <c r="K98" s="39"/>
    </row>
    <row r="99">
      <c r="A99" s="1" t="s">
        <v>1030</v>
      </c>
      <c r="C99" s="1" t="s">
        <v>2236</v>
      </c>
      <c r="D99" s="15" t="s">
        <v>1055</v>
      </c>
      <c r="E99" s="1" t="s">
        <v>1056</v>
      </c>
      <c r="F99" s="15" t="s">
        <v>719</v>
      </c>
      <c r="G99" s="1" t="s">
        <v>434</v>
      </c>
      <c r="H99" s="1" t="s">
        <v>39</v>
      </c>
      <c r="I99" s="1" t="s">
        <v>452</v>
      </c>
      <c r="J99" s="103">
        <v>9.0</v>
      </c>
      <c r="K99" s="39"/>
    </row>
    <row r="100">
      <c r="A100" s="1" t="s">
        <v>1030</v>
      </c>
      <c r="C100" s="1" t="s">
        <v>2236</v>
      </c>
      <c r="D100" s="15" t="s">
        <v>2702</v>
      </c>
      <c r="E100" s="1" t="s">
        <v>2703</v>
      </c>
      <c r="F100" s="15" t="s">
        <v>2704</v>
      </c>
      <c r="G100" s="1" t="s">
        <v>2705</v>
      </c>
      <c r="H100" s="1" t="s">
        <v>44</v>
      </c>
      <c r="I100" s="1" t="s">
        <v>452</v>
      </c>
      <c r="J100" s="80">
        <v>10.0</v>
      </c>
      <c r="K100" s="39"/>
    </row>
    <row r="101">
      <c r="A101" s="1" t="s">
        <v>1030</v>
      </c>
      <c r="C101" s="1" t="s">
        <v>2236</v>
      </c>
      <c r="D101" s="15" t="s">
        <v>1055</v>
      </c>
      <c r="E101" s="1" t="s">
        <v>1554</v>
      </c>
      <c r="F101" s="15" t="s">
        <v>2706</v>
      </c>
      <c r="G101" s="1" t="s">
        <v>2707</v>
      </c>
      <c r="H101" s="1" t="s">
        <v>39</v>
      </c>
      <c r="I101" s="1" t="s">
        <v>452</v>
      </c>
      <c r="J101" s="91">
        <v>11.0</v>
      </c>
      <c r="K101" s="39"/>
    </row>
    <row r="102">
      <c r="A102" s="69"/>
      <c r="B102" s="67"/>
      <c r="C102" s="67"/>
      <c r="D102" s="96"/>
      <c r="E102" s="67"/>
      <c r="F102" s="96"/>
      <c r="G102" s="67"/>
      <c r="H102" s="67"/>
      <c r="I102" s="67"/>
      <c r="J102" s="67"/>
      <c r="K102" s="67"/>
      <c r="L102" s="67"/>
      <c r="M102" s="67"/>
      <c r="N102" s="67"/>
      <c r="O102" s="67"/>
      <c r="P102" s="67"/>
      <c r="Q102" s="67"/>
      <c r="R102" s="67"/>
      <c r="S102" s="67"/>
      <c r="T102" s="67"/>
      <c r="U102" s="67"/>
      <c r="V102" s="67"/>
      <c r="W102" s="67"/>
      <c r="X102" s="67"/>
      <c r="Y102" s="67"/>
      <c r="Z102" s="67"/>
      <c r="AA102" s="67"/>
      <c r="AB102" s="67"/>
      <c r="AC102" s="67"/>
      <c r="AD102" s="67"/>
      <c r="AE102" s="67"/>
    </row>
    <row r="103">
      <c r="A103" s="1" t="s">
        <v>1057</v>
      </c>
      <c r="C103" s="1" t="s">
        <v>2277</v>
      </c>
      <c r="D103" s="15" t="s">
        <v>2708</v>
      </c>
      <c r="E103" s="1" t="s">
        <v>170</v>
      </c>
      <c r="F103" s="15" t="s">
        <v>2709</v>
      </c>
      <c r="H103" s="1" t="s">
        <v>54</v>
      </c>
      <c r="I103" s="1" t="s">
        <v>488</v>
      </c>
      <c r="J103" s="92">
        <v>1.0</v>
      </c>
      <c r="K103" s="39"/>
      <c r="L103" s="1" t="s">
        <v>1031</v>
      </c>
      <c r="M103" s="1" t="s">
        <v>1058</v>
      </c>
      <c r="N103" s="1" t="s">
        <v>1059</v>
      </c>
      <c r="O103" s="1" t="s">
        <v>1060</v>
      </c>
      <c r="P103" s="1" t="s">
        <v>2710</v>
      </c>
      <c r="Q103" s="1" t="s">
        <v>54</v>
      </c>
      <c r="R103" s="1" t="s">
        <v>488</v>
      </c>
    </row>
    <row r="104">
      <c r="A104" s="1" t="s">
        <v>1057</v>
      </c>
      <c r="C104" s="1" t="s">
        <v>2277</v>
      </c>
      <c r="D104" s="15" t="s">
        <v>2711</v>
      </c>
      <c r="E104" s="1" t="s">
        <v>910</v>
      </c>
      <c r="F104" s="15" t="s">
        <v>2712</v>
      </c>
      <c r="G104" s="1" t="s">
        <v>2713</v>
      </c>
      <c r="H104" s="1" t="s">
        <v>54</v>
      </c>
      <c r="I104" s="1" t="s">
        <v>488</v>
      </c>
      <c r="J104" s="80">
        <v>2.0</v>
      </c>
      <c r="K104" s="39"/>
      <c r="L104" s="1">
        <v>11.0</v>
      </c>
      <c r="M104" s="1" t="s">
        <v>1058</v>
      </c>
      <c r="N104" s="1" t="s">
        <v>1059</v>
      </c>
      <c r="O104" s="1" t="s">
        <v>1062</v>
      </c>
      <c r="P104" s="1" t="s">
        <v>1063</v>
      </c>
      <c r="Q104" s="1" t="s">
        <v>54</v>
      </c>
      <c r="R104" s="1" t="s">
        <v>488</v>
      </c>
    </row>
    <row r="105">
      <c r="A105" s="1" t="s">
        <v>1057</v>
      </c>
      <c r="C105" s="1" t="s">
        <v>2277</v>
      </c>
      <c r="D105" s="15" t="s">
        <v>2711</v>
      </c>
      <c r="E105" s="1" t="s">
        <v>910</v>
      </c>
      <c r="F105" s="15" t="s">
        <v>2714</v>
      </c>
      <c r="G105" s="1" t="s">
        <v>2715</v>
      </c>
      <c r="H105" s="1" t="s">
        <v>54</v>
      </c>
      <c r="I105" s="1" t="s">
        <v>488</v>
      </c>
      <c r="J105" s="85">
        <v>3.0</v>
      </c>
      <c r="K105" s="39"/>
      <c r="L105" s="1">
        <v>12.0</v>
      </c>
      <c r="M105" s="1" t="s">
        <v>1065</v>
      </c>
      <c r="N105" s="1" t="s">
        <v>1036</v>
      </c>
      <c r="O105" s="1" t="s">
        <v>1066</v>
      </c>
      <c r="P105" s="1" t="s">
        <v>1067</v>
      </c>
      <c r="Q105" s="1" t="s">
        <v>14</v>
      </c>
      <c r="R105" s="1" t="s">
        <v>488</v>
      </c>
    </row>
    <row r="106">
      <c r="A106" s="1" t="s">
        <v>1057</v>
      </c>
      <c r="C106" s="1" t="s">
        <v>2277</v>
      </c>
      <c r="D106" s="15" t="s">
        <v>2711</v>
      </c>
      <c r="E106" s="1" t="s">
        <v>910</v>
      </c>
      <c r="F106" s="15" t="s">
        <v>2716</v>
      </c>
      <c r="G106" s="1" t="s">
        <v>2717</v>
      </c>
      <c r="H106" s="1" t="s">
        <v>54</v>
      </c>
      <c r="I106" s="1" t="s">
        <v>488</v>
      </c>
      <c r="J106" s="73">
        <v>4.0</v>
      </c>
      <c r="K106" s="39"/>
      <c r="L106" s="1" t="s">
        <v>2718</v>
      </c>
      <c r="M106" s="1" t="s">
        <v>1069</v>
      </c>
      <c r="N106" s="1" t="s">
        <v>1070</v>
      </c>
      <c r="O106" s="1" t="s">
        <v>1071</v>
      </c>
      <c r="P106" s="1" t="s">
        <v>1072</v>
      </c>
      <c r="Q106" s="1" t="s">
        <v>54</v>
      </c>
      <c r="R106" s="1" t="s">
        <v>488</v>
      </c>
    </row>
    <row r="107">
      <c r="A107" s="1" t="s">
        <v>1057</v>
      </c>
      <c r="C107" s="1" t="s">
        <v>2277</v>
      </c>
      <c r="D107" s="15" t="s">
        <v>2719</v>
      </c>
      <c r="E107" s="1" t="s">
        <v>2720</v>
      </c>
      <c r="F107" s="15" t="s">
        <v>2721</v>
      </c>
      <c r="H107" s="1" t="s">
        <v>20</v>
      </c>
      <c r="I107" s="1" t="s">
        <v>488</v>
      </c>
      <c r="J107" s="91">
        <v>5.0</v>
      </c>
      <c r="K107" s="39"/>
      <c r="L107" s="1" t="s">
        <v>1429</v>
      </c>
      <c r="M107" s="1" t="s">
        <v>1069</v>
      </c>
      <c r="N107" s="1" t="s">
        <v>1070</v>
      </c>
      <c r="O107" s="1" t="s">
        <v>1074</v>
      </c>
      <c r="P107" s="1" t="s">
        <v>1072</v>
      </c>
      <c r="Q107" s="1" t="s">
        <v>54</v>
      </c>
      <c r="R107" s="1" t="s">
        <v>488</v>
      </c>
    </row>
    <row r="108">
      <c r="A108" s="1" t="s">
        <v>1057</v>
      </c>
      <c r="C108" s="1" t="s">
        <v>2277</v>
      </c>
      <c r="D108" s="15" t="s">
        <v>2719</v>
      </c>
      <c r="E108" s="1" t="s">
        <v>1098</v>
      </c>
      <c r="F108" s="15" t="s">
        <v>2647</v>
      </c>
      <c r="H108" s="1" t="s">
        <v>54</v>
      </c>
      <c r="I108" s="1" t="s">
        <v>488</v>
      </c>
      <c r="J108" s="107">
        <v>6.0</v>
      </c>
      <c r="K108" s="39"/>
      <c r="L108" s="1" t="s">
        <v>994</v>
      </c>
      <c r="M108" s="1" t="s">
        <v>1069</v>
      </c>
      <c r="N108" s="1" t="s">
        <v>1070</v>
      </c>
      <c r="O108" s="1" t="s">
        <v>1077</v>
      </c>
      <c r="P108" s="1" t="s">
        <v>1072</v>
      </c>
      <c r="Q108" s="1" t="s">
        <v>54</v>
      </c>
      <c r="R108" s="1" t="s">
        <v>488</v>
      </c>
    </row>
    <row r="109">
      <c r="A109" s="1" t="s">
        <v>1057</v>
      </c>
      <c r="C109" s="1" t="s">
        <v>2277</v>
      </c>
      <c r="D109" s="15" t="s">
        <v>2722</v>
      </c>
      <c r="E109" s="1" t="s">
        <v>1098</v>
      </c>
      <c r="F109" s="15" t="s">
        <v>1099</v>
      </c>
      <c r="G109" s="1" t="s">
        <v>2723</v>
      </c>
      <c r="H109" s="1" t="s">
        <v>20</v>
      </c>
      <c r="I109" s="1" t="s">
        <v>488</v>
      </c>
      <c r="J109" s="83">
        <v>7.0</v>
      </c>
      <c r="K109" s="39"/>
      <c r="L109" s="1">
        <v>16.0</v>
      </c>
      <c r="M109" s="1" t="s">
        <v>1079</v>
      </c>
      <c r="N109" s="1" t="s">
        <v>1080</v>
      </c>
      <c r="O109" s="1" t="s">
        <v>1081</v>
      </c>
      <c r="P109" s="1" t="s">
        <v>2724</v>
      </c>
      <c r="Q109" s="1" t="s">
        <v>54</v>
      </c>
      <c r="R109" s="1" t="s">
        <v>488</v>
      </c>
    </row>
    <row r="110">
      <c r="A110" s="1" t="s">
        <v>1057</v>
      </c>
      <c r="C110" s="1" t="s">
        <v>2277</v>
      </c>
      <c r="D110" s="15" t="s">
        <v>2722</v>
      </c>
      <c r="E110" s="1" t="s">
        <v>910</v>
      </c>
      <c r="F110" s="15" t="s">
        <v>2725</v>
      </c>
      <c r="H110" s="1" t="s">
        <v>54</v>
      </c>
      <c r="I110" s="1" t="s">
        <v>488</v>
      </c>
      <c r="J110" s="93">
        <v>8.0</v>
      </c>
      <c r="K110" s="39"/>
      <c r="L110" s="1">
        <v>17.0</v>
      </c>
      <c r="M110" s="1" t="s">
        <v>1079</v>
      </c>
      <c r="N110" s="1" t="s">
        <v>1080</v>
      </c>
      <c r="O110" s="1" t="s">
        <v>1083</v>
      </c>
      <c r="P110" s="1" t="s">
        <v>2724</v>
      </c>
      <c r="Q110" s="1" t="s">
        <v>54</v>
      </c>
      <c r="R110" s="1" t="s">
        <v>488</v>
      </c>
    </row>
    <row r="111">
      <c r="A111" s="1" t="s">
        <v>1057</v>
      </c>
      <c r="C111" s="1" t="s">
        <v>2277</v>
      </c>
      <c r="D111" s="15" t="s">
        <v>2722</v>
      </c>
      <c r="E111" s="1" t="s">
        <v>910</v>
      </c>
      <c r="F111" s="15" t="s">
        <v>477</v>
      </c>
      <c r="H111" s="1" t="s">
        <v>39</v>
      </c>
      <c r="I111" s="1" t="s">
        <v>488</v>
      </c>
      <c r="J111" s="108">
        <v>9.0</v>
      </c>
      <c r="K111" s="39"/>
      <c r="L111" s="1">
        <v>18.0</v>
      </c>
      <c r="M111" s="1" t="s">
        <v>1085</v>
      </c>
      <c r="N111" s="1" t="s">
        <v>1086</v>
      </c>
      <c r="O111" s="1" t="s">
        <v>1087</v>
      </c>
      <c r="P111" s="1" t="s">
        <v>1088</v>
      </c>
      <c r="Q111" s="1" t="s">
        <v>20</v>
      </c>
      <c r="R111" s="1" t="s">
        <v>488</v>
      </c>
    </row>
    <row r="112">
      <c r="A112" s="1" t="s">
        <v>1057</v>
      </c>
      <c r="C112" s="1" t="s">
        <v>2346</v>
      </c>
      <c r="D112" s="15" t="s">
        <v>2726</v>
      </c>
      <c r="E112" s="1" t="s">
        <v>1059</v>
      </c>
      <c r="F112" s="15" t="s">
        <v>2727</v>
      </c>
      <c r="G112" s="1" t="s">
        <v>2710</v>
      </c>
      <c r="H112" s="1" t="s">
        <v>54</v>
      </c>
      <c r="I112" s="1" t="s">
        <v>488</v>
      </c>
      <c r="J112" s="92">
        <v>10.0</v>
      </c>
      <c r="K112" s="39"/>
      <c r="L112" s="1" t="s">
        <v>1089</v>
      </c>
      <c r="M112" s="1" t="s">
        <v>1085</v>
      </c>
      <c r="N112" s="1" t="s">
        <v>1090</v>
      </c>
      <c r="O112" s="1" t="s">
        <v>1091</v>
      </c>
      <c r="Q112" s="108" t="s">
        <v>54</v>
      </c>
      <c r="R112" s="1" t="s">
        <v>488</v>
      </c>
    </row>
    <row r="113">
      <c r="A113" s="1" t="s">
        <v>1057</v>
      </c>
      <c r="C113" s="1" t="s">
        <v>2346</v>
      </c>
      <c r="D113" s="15" t="s">
        <v>2726</v>
      </c>
      <c r="E113" s="1" t="s">
        <v>1059</v>
      </c>
      <c r="F113" s="15" t="s">
        <v>1062</v>
      </c>
      <c r="G113" s="1" t="s">
        <v>1063</v>
      </c>
      <c r="H113" s="1" t="s">
        <v>54</v>
      </c>
      <c r="I113" s="1" t="s">
        <v>488</v>
      </c>
      <c r="J113" s="79">
        <v>11.0</v>
      </c>
      <c r="K113" s="39"/>
      <c r="L113" s="1">
        <v>5.0</v>
      </c>
      <c r="M113" s="1" t="s">
        <v>2728</v>
      </c>
      <c r="N113" s="1" t="s">
        <v>2720</v>
      </c>
      <c r="O113" s="1" t="s">
        <v>2721</v>
      </c>
      <c r="Q113" s="1" t="s">
        <v>20</v>
      </c>
      <c r="R113" s="1" t="s">
        <v>488</v>
      </c>
    </row>
    <row r="114">
      <c r="A114" s="1" t="s">
        <v>1057</v>
      </c>
      <c r="C114" s="1" t="s">
        <v>2346</v>
      </c>
      <c r="D114" s="15" t="s">
        <v>2729</v>
      </c>
      <c r="E114" s="1" t="s">
        <v>1036</v>
      </c>
      <c r="F114" s="15" t="s">
        <v>1066</v>
      </c>
      <c r="G114" s="1" t="s">
        <v>1067</v>
      </c>
      <c r="H114" s="1" t="s">
        <v>14</v>
      </c>
      <c r="I114" s="1" t="s">
        <v>488</v>
      </c>
      <c r="J114" s="84">
        <v>12.0</v>
      </c>
      <c r="K114" s="39"/>
      <c r="L114" s="1">
        <v>20.0</v>
      </c>
      <c r="M114" s="1" t="s">
        <v>1093</v>
      </c>
      <c r="N114" s="1" t="s">
        <v>1090</v>
      </c>
      <c r="O114" s="1" t="s">
        <v>1094</v>
      </c>
      <c r="P114" s="1" t="s">
        <v>1095</v>
      </c>
      <c r="Q114" s="1" t="s">
        <v>14</v>
      </c>
      <c r="R114" s="1" t="s">
        <v>488</v>
      </c>
    </row>
    <row r="115" hidden="1">
      <c r="A115" s="75" t="s">
        <v>378</v>
      </c>
      <c r="B115" s="76" t="str">
        <f>VLOOKUP(A115,Assignment!$AB$3:$AC$24,2,FALSE())</f>
        <v>DONE</v>
      </c>
      <c r="C115" s="76"/>
      <c r="J115" s="76"/>
      <c r="K115" s="76"/>
      <c r="L115" s="76"/>
      <c r="M115" s="76"/>
      <c r="N115" s="76"/>
      <c r="O115" s="76"/>
      <c r="P115" s="76"/>
      <c r="Q115" s="76"/>
      <c r="R115" s="76"/>
      <c r="S115" s="76"/>
      <c r="T115" s="76"/>
      <c r="U115" s="76"/>
      <c r="V115" s="76"/>
      <c r="W115" s="76"/>
      <c r="X115" s="76"/>
      <c r="Y115" s="76"/>
      <c r="Z115" s="76"/>
      <c r="AA115" s="76"/>
      <c r="AB115" s="76"/>
      <c r="AC115" s="76"/>
      <c r="AD115" s="76"/>
      <c r="AE115" s="76"/>
    </row>
    <row r="116">
      <c r="A116" s="1" t="s">
        <v>1057</v>
      </c>
      <c r="C116" s="1" t="s">
        <v>2346</v>
      </c>
      <c r="D116" s="15" t="s">
        <v>2730</v>
      </c>
      <c r="E116" s="1" t="s">
        <v>1070</v>
      </c>
      <c r="F116" s="15" t="s">
        <v>1071</v>
      </c>
      <c r="G116" s="1" t="s">
        <v>1072</v>
      </c>
      <c r="H116" s="1" t="s">
        <v>54</v>
      </c>
      <c r="I116" s="1" t="s">
        <v>488</v>
      </c>
      <c r="J116" s="80">
        <v>13.0</v>
      </c>
      <c r="K116" s="39"/>
      <c r="L116" s="1">
        <v>21.0</v>
      </c>
      <c r="M116" s="1" t="s">
        <v>1093</v>
      </c>
      <c r="N116" s="1" t="s">
        <v>1090</v>
      </c>
      <c r="O116" s="1" t="s">
        <v>1096</v>
      </c>
      <c r="Q116" s="1" t="s">
        <v>20</v>
      </c>
      <c r="R116" s="1" t="s">
        <v>488</v>
      </c>
    </row>
    <row r="117">
      <c r="A117" s="1" t="s">
        <v>1057</v>
      </c>
      <c r="C117" s="1" t="s">
        <v>2346</v>
      </c>
      <c r="D117" s="15" t="s">
        <v>2730</v>
      </c>
      <c r="E117" s="1" t="s">
        <v>1070</v>
      </c>
      <c r="F117" s="15" t="s">
        <v>1074</v>
      </c>
      <c r="G117" s="1" t="s">
        <v>1072</v>
      </c>
      <c r="H117" s="1" t="s">
        <v>54</v>
      </c>
      <c r="I117" s="1" t="s">
        <v>488</v>
      </c>
      <c r="J117" s="85">
        <v>14.0</v>
      </c>
      <c r="K117" s="39"/>
      <c r="L117" s="1">
        <v>7.0</v>
      </c>
      <c r="M117" s="1" t="s">
        <v>1097</v>
      </c>
      <c r="N117" s="1" t="s">
        <v>1098</v>
      </c>
      <c r="O117" s="1" t="s">
        <v>1099</v>
      </c>
      <c r="P117" s="1" t="s">
        <v>1100</v>
      </c>
      <c r="Q117" s="1" t="s">
        <v>20</v>
      </c>
      <c r="R117" s="1" t="s">
        <v>488</v>
      </c>
    </row>
    <row r="118">
      <c r="A118" s="1" t="s">
        <v>1057</v>
      </c>
      <c r="C118" s="1" t="s">
        <v>2346</v>
      </c>
      <c r="D118" s="15" t="s">
        <v>2730</v>
      </c>
      <c r="E118" s="1" t="s">
        <v>1070</v>
      </c>
      <c r="F118" s="15" t="s">
        <v>1077</v>
      </c>
      <c r="G118" s="1" t="s">
        <v>1072</v>
      </c>
      <c r="H118" s="1" t="s">
        <v>54</v>
      </c>
      <c r="I118" s="1" t="s">
        <v>488</v>
      </c>
      <c r="J118" s="73">
        <v>15.0</v>
      </c>
      <c r="K118" s="39"/>
      <c r="L118" s="1">
        <v>22.0</v>
      </c>
      <c r="M118" s="1" t="s">
        <v>1097</v>
      </c>
      <c r="O118" s="1" t="s">
        <v>2731</v>
      </c>
      <c r="P118" s="1" t="s">
        <v>1103</v>
      </c>
      <c r="Q118" s="1" t="s">
        <v>54</v>
      </c>
      <c r="R118" s="1" t="s">
        <v>488</v>
      </c>
    </row>
    <row r="119" hidden="1">
      <c r="A119" s="75" t="s">
        <v>256</v>
      </c>
      <c r="B119" s="76" t="str">
        <f>VLOOKUP(A119,Assignment!$AB$3:$AC$24,2,FALSE())</f>
        <v>DONE</v>
      </c>
      <c r="C119" s="76"/>
      <c r="D119" s="76"/>
      <c r="E119" s="76"/>
      <c r="F119" s="76"/>
      <c r="G119" s="76"/>
      <c r="H119" s="76"/>
      <c r="I119" s="76"/>
      <c r="J119" s="76"/>
      <c r="K119" s="76"/>
      <c r="L119" s="76"/>
      <c r="M119" s="76"/>
      <c r="N119" s="76"/>
      <c r="O119" s="76"/>
      <c r="P119" s="76"/>
      <c r="Q119" s="76"/>
      <c r="R119" s="76"/>
      <c r="S119" s="76"/>
      <c r="T119" s="76"/>
      <c r="U119" s="76"/>
      <c r="V119" s="76"/>
      <c r="W119" s="76"/>
      <c r="X119" s="76"/>
      <c r="Y119" s="76"/>
      <c r="Z119" s="76"/>
      <c r="AA119" s="76"/>
      <c r="AB119" s="76"/>
      <c r="AC119" s="76"/>
      <c r="AD119" s="76"/>
      <c r="AE119" s="76"/>
    </row>
    <row r="120" hidden="1">
      <c r="A120" s="75" t="s">
        <v>128</v>
      </c>
      <c r="B120" s="76" t="str">
        <f>VLOOKUP(A120,Assignment!$AB$3:$AC$24,2,FALSE())</f>
        <v>DONE</v>
      </c>
      <c r="C120" s="76"/>
      <c r="D120" s="76"/>
      <c r="E120" s="76"/>
      <c r="F120" s="76"/>
      <c r="G120" s="76"/>
      <c r="H120" s="76"/>
      <c r="I120" s="76"/>
      <c r="J120" s="76"/>
      <c r="K120" s="76"/>
      <c r="L120" s="76"/>
      <c r="M120" s="76"/>
      <c r="N120" s="76"/>
      <c r="O120" s="76"/>
      <c r="P120" s="76"/>
      <c r="Q120" s="76"/>
      <c r="R120" s="76"/>
      <c r="S120" s="76"/>
      <c r="T120" s="76"/>
      <c r="U120" s="76"/>
      <c r="V120" s="76"/>
      <c r="W120" s="76"/>
      <c r="X120" s="76"/>
      <c r="Y120" s="76"/>
      <c r="Z120" s="76"/>
      <c r="AA120" s="76"/>
      <c r="AB120" s="76"/>
      <c r="AC120" s="76"/>
      <c r="AD120" s="76"/>
      <c r="AE120" s="76"/>
    </row>
    <row r="121">
      <c r="A121" s="1" t="s">
        <v>1057</v>
      </c>
      <c r="C121" s="1" t="s">
        <v>2346</v>
      </c>
      <c r="D121" s="15" t="s">
        <v>2732</v>
      </c>
      <c r="E121" s="1" t="s">
        <v>1080</v>
      </c>
      <c r="F121" s="15" t="s">
        <v>1081</v>
      </c>
      <c r="G121" s="1" t="s">
        <v>2724</v>
      </c>
      <c r="H121" s="1" t="s">
        <v>54</v>
      </c>
      <c r="I121" s="1" t="s">
        <v>488</v>
      </c>
      <c r="J121" s="86">
        <v>16.0</v>
      </c>
      <c r="K121" s="39"/>
      <c r="L121" s="1">
        <v>23.0</v>
      </c>
      <c r="M121" s="1" t="s">
        <v>1097</v>
      </c>
      <c r="N121" s="1" t="s">
        <v>1105</v>
      </c>
      <c r="O121" s="1" t="s">
        <v>1106</v>
      </c>
      <c r="P121" s="1" t="s">
        <v>716</v>
      </c>
      <c r="Q121" s="1" t="s">
        <v>39</v>
      </c>
      <c r="R121" s="1" t="s">
        <v>488</v>
      </c>
    </row>
    <row r="122">
      <c r="A122" s="1" t="s">
        <v>1057</v>
      </c>
      <c r="C122" s="1" t="s">
        <v>2346</v>
      </c>
      <c r="D122" s="15" t="s">
        <v>2732</v>
      </c>
      <c r="E122" s="1" t="s">
        <v>1080</v>
      </c>
      <c r="F122" s="15" t="s">
        <v>1083</v>
      </c>
      <c r="G122" s="1" t="s">
        <v>2724</v>
      </c>
      <c r="H122" s="1" t="s">
        <v>54</v>
      </c>
      <c r="I122" s="1" t="s">
        <v>488</v>
      </c>
      <c r="J122" s="102">
        <v>17.0</v>
      </c>
      <c r="K122" s="39"/>
      <c r="L122" s="1">
        <v>24.0</v>
      </c>
      <c r="M122" s="1" t="s">
        <v>1107</v>
      </c>
      <c r="N122" s="1" t="s">
        <v>688</v>
      </c>
      <c r="O122" s="1" t="s">
        <v>1108</v>
      </c>
      <c r="P122" s="1" t="s">
        <v>1109</v>
      </c>
      <c r="Q122" s="1" t="s">
        <v>39</v>
      </c>
      <c r="R122" s="1" t="s">
        <v>488</v>
      </c>
    </row>
    <row r="123">
      <c r="A123" s="1" t="s">
        <v>1057</v>
      </c>
      <c r="C123" s="1" t="s">
        <v>2346</v>
      </c>
      <c r="D123" s="15" t="s">
        <v>2733</v>
      </c>
      <c r="E123" s="1" t="s">
        <v>1086</v>
      </c>
      <c r="F123" s="15" t="s">
        <v>1087</v>
      </c>
      <c r="G123" s="1" t="s">
        <v>1088</v>
      </c>
      <c r="H123" s="1" t="s">
        <v>20</v>
      </c>
      <c r="I123" s="1" t="s">
        <v>488</v>
      </c>
      <c r="J123" s="78">
        <v>18.0</v>
      </c>
      <c r="K123" s="39"/>
      <c r="L123" s="1">
        <v>8.0</v>
      </c>
      <c r="M123" s="1" t="s">
        <v>2734</v>
      </c>
      <c r="N123" s="1" t="s">
        <v>910</v>
      </c>
      <c r="O123" s="1" t="s">
        <v>2725</v>
      </c>
      <c r="Q123" s="1" t="s">
        <v>54</v>
      </c>
      <c r="R123" s="1" t="s">
        <v>488</v>
      </c>
    </row>
    <row r="124">
      <c r="A124" s="1" t="s">
        <v>1057</v>
      </c>
      <c r="C124" s="1" t="s">
        <v>2346</v>
      </c>
      <c r="D124" s="15" t="s">
        <v>2733</v>
      </c>
      <c r="E124" s="1" t="s">
        <v>1090</v>
      </c>
      <c r="F124" s="15" t="s">
        <v>2735</v>
      </c>
      <c r="H124" s="1" t="s">
        <v>54</v>
      </c>
      <c r="I124" s="1" t="s">
        <v>488</v>
      </c>
      <c r="J124" s="107">
        <v>19.0</v>
      </c>
      <c r="K124" s="39"/>
      <c r="L124" s="1">
        <v>9.0</v>
      </c>
      <c r="M124" s="1" t="s">
        <v>2734</v>
      </c>
      <c r="N124" s="1" t="s">
        <v>910</v>
      </c>
      <c r="O124" s="1" t="s">
        <v>477</v>
      </c>
      <c r="Q124" s="1" t="s">
        <v>39</v>
      </c>
      <c r="R124" s="1" t="s">
        <v>488</v>
      </c>
    </row>
    <row r="125">
      <c r="A125" s="1" t="s">
        <v>1057</v>
      </c>
      <c r="C125" s="1" t="s">
        <v>2346</v>
      </c>
      <c r="D125" s="15" t="s">
        <v>2733</v>
      </c>
      <c r="E125" s="1" t="s">
        <v>1090</v>
      </c>
      <c r="F125" s="15" t="s">
        <v>1094</v>
      </c>
      <c r="G125" s="1" t="s">
        <v>1095</v>
      </c>
      <c r="H125" s="1" t="s">
        <v>14</v>
      </c>
      <c r="I125" s="1" t="s">
        <v>488</v>
      </c>
      <c r="J125" s="109">
        <v>20.0</v>
      </c>
      <c r="K125" s="39"/>
      <c r="L125" s="1">
        <v>25.0</v>
      </c>
      <c r="M125" s="1" t="s">
        <v>1110</v>
      </c>
      <c r="N125" s="1" t="s">
        <v>698</v>
      </c>
      <c r="O125" s="1" t="s">
        <v>2736</v>
      </c>
      <c r="P125" s="1" t="s">
        <v>1112</v>
      </c>
      <c r="Q125" s="1" t="s">
        <v>39</v>
      </c>
      <c r="R125" s="1" t="s">
        <v>488</v>
      </c>
    </row>
    <row r="126">
      <c r="A126" s="1" t="s">
        <v>1057</v>
      </c>
      <c r="C126" s="1" t="s">
        <v>2346</v>
      </c>
      <c r="D126" s="15" t="s">
        <v>2733</v>
      </c>
      <c r="E126" s="1" t="s">
        <v>1090</v>
      </c>
      <c r="F126" s="15" t="s">
        <v>1096</v>
      </c>
      <c r="H126" s="1" t="s">
        <v>20</v>
      </c>
      <c r="I126" s="1" t="s">
        <v>488</v>
      </c>
      <c r="J126" s="103">
        <v>21.0</v>
      </c>
      <c r="K126" s="39"/>
    </row>
    <row r="127">
      <c r="A127" s="1" t="s">
        <v>1057</v>
      </c>
      <c r="C127" s="1" t="s">
        <v>2346</v>
      </c>
      <c r="D127" s="15" t="s">
        <v>2737</v>
      </c>
      <c r="F127" s="15" t="s">
        <v>2731</v>
      </c>
      <c r="G127" s="1" t="s">
        <v>1103</v>
      </c>
      <c r="H127" s="1" t="s">
        <v>54</v>
      </c>
      <c r="I127" s="1" t="s">
        <v>488</v>
      </c>
      <c r="J127" s="81">
        <v>22.0</v>
      </c>
      <c r="K127" s="39"/>
    </row>
    <row r="128" hidden="1">
      <c r="A128" s="75" t="s">
        <v>800</v>
      </c>
      <c r="B128" s="76" t="str">
        <f>VLOOKUP(A128,Assignment!$AB$3:$AC$24,2,FALSE())</f>
        <v>DONE</v>
      </c>
      <c r="C128" s="76"/>
      <c r="D128" s="76"/>
      <c r="E128" s="76"/>
      <c r="F128" s="76"/>
      <c r="G128" s="76"/>
      <c r="H128" s="76"/>
      <c r="I128" s="76"/>
      <c r="J128" s="76"/>
      <c r="K128" s="76"/>
      <c r="L128" s="76"/>
      <c r="M128" s="76"/>
      <c r="N128" s="76"/>
      <c r="O128" s="76"/>
      <c r="P128" s="76"/>
      <c r="Q128" s="76"/>
      <c r="R128" s="76"/>
      <c r="S128" s="76"/>
      <c r="T128" s="76"/>
      <c r="U128" s="76"/>
      <c r="V128" s="76"/>
      <c r="W128" s="76"/>
      <c r="X128" s="76"/>
      <c r="Y128" s="76"/>
      <c r="Z128" s="76"/>
      <c r="AA128" s="76"/>
      <c r="AB128" s="76"/>
      <c r="AC128" s="76"/>
      <c r="AD128" s="76"/>
      <c r="AE128" s="76"/>
    </row>
    <row r="129">
      <c r="A129" s="1" t="s">
        <v>1057</v>
      </c>
      <c r="C129" s="1" t="s">
        <v>2346</v>
      </c>
      <c r="D129" s="15" t="s">
        <v>2737</v>
      </c>
      <c r="E129" s="1" t="s">
        <v>1105</v>
      </c>
      <c r="F129" s="15" t="s">
        <v>1106</v>
      </c>
      <c r="G129" s="1" t="s">
        <v>716</v>
      </c>
      <c r="H129" s="1" t="s">
        <v>39</v>
      </c>
      <c r="I129" s="1" t="s">
        <v>488</v>
      </c>
      <c r="J129" s="94">
        <v>23.0</v>
      </c>
      <c r="K129" s="39"/>
    </row>
    <row r="130">
      <c r="A130" s="1" t="s">
        <v>1057</v>
      </c>
      <c r="C130" s="1" t="s">
        <v>2346</v>
      </c>
      <c r="D130" s="15" t="s">
        <v>2738</v>
      </c>
      <c r="E130" s="1" t="s">
        <v>688</v>
      </c>
      <c r="F130" s="15" t="s">
        <v>1108</v>
      </c>
      <c r="G130" s="1" t="s">
        <v>1109</v>
      </c>
      <c r="H130" s="1" t="s">
        <v>39</v>
      </c>
      <c r="I130" s="1" t="s">
        <v>488</v>
      </c>
      <c r="J130" s="105">
        <v>24.0</v>
      </c>
      <c r="K130" s="39"/>
    </row>
    <row r="131" hidden="1">
      <c r="A131" s="75" t="s">
        <v>825</v>
      </c>
      <c r="B131" s="76" t="str">
        <f>VLOOKUP(A131,Assignment!$AB$3:$AC$24,2,FALSE())</f>
        <v>DONE</v>
      </c>
      <c r="C131" s="76"/>
      <c r="D131" s="76"/>
      <c r="E131" s="76"/>
      <c r="F131" s="76"/>
      <c r="G131" s="76"/>
      <c r="H131" s="76"/>
      <c r="I131" s="76"/>
      <c r="J131" s="76"/>
      <c r="K131" s="76"/>
      <c r="L131" s="76"/>
      <c r="M131" s="76"/>
      <c r="N131" s="76"/>
      <c r="O131" s="76"/>
      <c r="P131" s="76"/>
      <c r="Q131" s="76"/>
      <c r="R131" s="76"/>
      <c r="S131" s="76"/>
      <c r="T131" s="76"/>
      <c r="U131" s="76"/>
      <c r="V131" s="76"/>
      <c r="W131" s="76"/>
      <c r="X131" s="76"/>
      <c r="Y131" s="76"/>
      <c r="Z131" s="76"/>
      <c r="AA131" s="76"/>
      <c r="AB131" s="76"/>
      <c r="AC131" s="76"/>
      <c r="AD131" s="76"/>
      <c r="AE131" s="76"/>
    </row>
    <row r="132">
      <c r="A132" s="1" t="s">
        <v>1057</v>
      </c>
      <c r="C132" s="1" t="s">
        <v>2346</v>
      </c>
      <c r="D132" s="15" t="s">
        <v>2739</v>
      </c>
      <c r="E132" s="1" t="s">
        <v>698</v>
      </c>
      <c r="F132" s="15" t="s">
        <v>2736</v>
      </c>
      <c r="G132" s="1" t="s">
        <v>1112</v>
      </c>
      <c r="H132" s="1" t="s">
        <v>39</v>
      </c>
      <c r="I132" s="1" t="s">
        <v>488</v>
      </c>
      <c r="J132" s="86">
        <v>25.0</v>
      </c>
      <c r="K132" s="39"/>
    </row>
    <row r="133">
      <c r="A133" s="69"/>
      <c r="B133" s="67"/>
      <c r="C133" s="67"/>
      <c r="D133" s="96"/>
      <c r="E133" s="67"/>
      <c r="F133" s="96"/>
      <c r="G133" s="67"/>
      <c r="H133" s="67"/>
      <c r="I133" s="67"/>
      <c r="J133" s="67"/>
      <c r="K133" s="67"/>
      <c r="L133" s="67"/>
      <c r="M133" s="67"/>
      <c r="N133" s="67"/>
      <c r="O133" s="67"/>
      <c r="P133" s="67"/>
      <c r="Q133" s="67"/>
      <c r="R133" s="67"/>
      <c r="S133" s="67"/>
      <c r="T133" s="67"/>
      <c r="U133" s="67"/>
      <c r="V133" s="67"/>
      <c r="W133" s="67"/>
      <c r="X133" s="67"/>
      <c r="Y133" s="67"/>
      <c r="Z133" s="67"/>
      <c r="AA133" s="67"/>
      <c r="AB133" s="67"/>
      <c r="AC133" s="67"/>
      <c r="AD133" s="67"/>
      <c r="AE133" s="67"/>
    </row>
    <row r="134">
      <c r="A134" s="1" t="s">
        <v>1113</v>
      </c>
      <c r="C134" s="1" t="s">
        <v>2277</v>
      </c>
      <c r="D134" s="15" t="s">
        <v>1115</v>
      </c>
      <c r="E134" s="89" t="s">
        <v>170</v>
      </c>
      <c r="F134" s="97" t="s">
        <v>2740</v>
      </c>
      <c r="G134" s="98"/>
      <c r="H134" s="89" t="s">
        <v>54</v>
      </c>
      <c r="I134" s="89" t="s">
        <v>1118</v>
      </c>
      <c r="J134" s="89">
        <v>1.0</v>
      </c>
      <c r="K134" s="39"/>
    </row>
    <row r="135">
      <c r="A135" s="1" t="s">
        <v>1113</v>
      </c>
      <c r="C135" s="1" t="s">
        <v>2277</v>
      </c>
      <c r="D135" s="15" t="s">
        <v>1115</v>
      </c>
      <c r="E135" s="1" t="s">
        <v>170</v>
      </c>
      <c r="F135" s="15" t="s">
        <v>2741</v>
      </c>
      <c r="G135" s="1" t="s">
        <v>1117</v>
      </c>
      <c r="H135" s="1" t="s">
        <v>54</v>
      </c>
      <c r="I135" s="1" t="s">
        <v>1118</v>
      </c>
      <c r="J135" s="78">
        <v>2.0</v>
      </c>
      <c r="K135" s="39"/>
      <c r="L135" s="1" t="s">
        <v>1114</v>
      </c>
      <c r="M135" s="1" t="s">
        <v>1115</v>
      </c>
      <c r="N135" s="1" t="s">
        <v>170</v>
      </c>
      <c r="O135" s="1" t="s">
        <v>1116</v>
      </c>
      <c r="P135" s="1" t="s">
        <v>1117</v>
      </c>
      <c r="Q135" s="1" t="s">
        <v>54</v>
      </c>
      <c r="R135" s="1" t="s">
        <v>1118</v>
      </c>
    </row>
    <row r="136">
      <c r="A136" s="1" t="s">
        <v>1113</v>
      </c>
      <c r="C136" s="1" t="s">
        <v>2277</v>
      </c>
      <c r="D136" s="15" t="s">
        <v>2742</v>
      </c>
      <c r="E136" s="1" t="s">
        <v>422</v>
      </c>
      <c r="F136" s="15" t="s">
        <v>2743</v>
      </c>
      <c r="H136" s="1" t="s">
        <v>39</v>
      </c>
      <c r="I136" s="1" t="s">
        <v>1118</v>
      </c>
      <c r="J136" s="110">
        <v>3.0</v>
      </c>
      <c r="K136" s="39"/>
      <c r="L136" s="1" t="s">
        <v>1119</v>
      </c>
      <c r="M136" s="1" t="s">
        <v>1120</v>
      </c>
      <c r="N136" s="1" t="s">
        <v>748</v>
      </c>
      <c r="O136" s="1" t="s">
        <v>1121</v>
      </c>
      <c r="P136" s="1" t="s">
        <v>1122</v>
      </c>
      <c r="Q136" s="1" t="s">
        <v>39</v>
      </c>
      <c r="R136" s="1" t="s">
        <v>1118</v>
      </c>
    </row>
    <row r="137">
      <c r="A137" s="1" t="s">
        <v>1113</v>
      </c>
      <c r="C137" s="1" t="s">
        <v>2277</v>
      </c>
      <c r="D137" s="15" t="s">
        <v>2742</v>
      </c>
      <c r="E137" s="1" t="s">
        <v>422</v>
      </c>
      <c r="F137" s="15" t="s">
        <v>2400</v>
      </c>
      <c r="G137" s="1" t="s">
        <v>2744</v>
      </c>
      <c r="H137" s="1" t="s">
        <v>54</v>
      </c>
      <c r="I137" s="1" t="s">
        <v>1118</v>
      </c>
      <c r="J137" s="109">
        <v>4.0</v>
      </c>
      <c r="K137" s="39"/>
      <c r="L137" s="1" t="s">
        <v>1123</v>
      </c>
      <c r="M137" s="1" t="s">
        <v>1124</v>
      </c>
      <c r="N137" s="1" t="s">
        <v>748</v>
      </c>
      <c r="O137" s="1" t="s">
        <v>1125</v>
      </c>
      <c r="P137" s="1" t="s">
        <v>1126</v>
      </c>
      <c r="Q137" s="1" t="s">
        <v>54</v>
      </c>
      <c r="R137" s="1" t="s">
        <v>1118</v>
      </c>
    </row>
    <row r="138">
      <c r="A138" s="1" t="s">
        <v>1113</v>
      </c>
      <c r="C138" s="1" t="s">
        <v>2277</v>
      </c>
      <c r="D138" s="15" t="s">
        <v>2745</v>
      </c>
      <c r="E138" s="1" t="s">
        <v>1128</v>
      </c>
      <c r="F138" s="15" t="s">
        <v>2746</v>
      </c>
      <c r="H138" s="1" t="s">
        <v>44</v>
      </c>
      <c r="I138" s="1" t="s">
        <v>1118</v>
      </c>
      <c r="J138" s="78">
        <v>5.0</v>
      </c>
      <c r="K138" s="39"/>
      <c r="L138" s="1" t="s">
        <v>1050</v>
      </c>
      <c r="M138" s="1" t="s">
        <v>1127</v>
      </c>
      <c r="N138" s="1" t="s">
        <v>1128</v>
      </c>
      <c r="O138" s="1" t="s">
        <v>1129</v>
      </c>
      <c r="Q138" s="1" t="s">
        <v>44</v>
      </c>
      <c r="R138" s="1" t="s">
        <v>1118</v>
      </c>
    </row>
    <row r="139">
      <c r="A139" s="1" t="s">
        <v>1113</v>
      </c>
      <c r="C139" s="1" t="s">
        <v>2277</v>
      </c>
      <c r="D139" s="15" t="s">
        <v>2745</v>
      </c>
      <c r="E139" s="1" t="s">
        <v>2747</v>
      </c>
      <c r="F139" s="15" t="s">
        <v>2748</v>
      </c>
      <c r="H139" s="1" t="s">
        <v>20</v>
      </c>
      <c r="I139" s="1" t="s">
        <v>1118</v>
      </c>
      <c r="J139" s="94">
        <v>6.0</v>
      </c>
      <c r="K139" s="39"/>
      <c r="L139" s="1" t="s">
        <v>1131</v>
      </c>
      <c r="M139" s="1" t="s">
        <v>1132</v>
      </c>
      <c r="N139" s="1" t="s">
        <v>1133</v>
      </c>
      <c r="O139" s="1" t="s">
        <v>1134</v>
      </c>
      <c r="P139" s="1" t="s">
        <v>1135</v>
      </c>
      <c r="Q139" s="1" t="s">
        <v>20</v>
      </c>
      <c r="R139" s="1" t="s">
        <v>1118</v>
      </c>
    </row>
    <row r="140">
      <c r="A140" s="1" t="s">
        <v>1113</v>
      </c>
      <c r="C140" s="1" t="s">
        <v>2277</v>
      </c>
      <c r="D140" s="15" t="s">
        <v>2745</v>
      </c>
      <c r="E140" s="89" t="s">
        <v>2747</v>
      </c>
      <c r="F140" s="97" t="s">
        <v>2749</v>
      </c>
      <c r="G140" s="98"/>
      <c r="H140" s="89" t="s">
        <v>14</v>
      </c>
      <c r="I140" s="89" t="s">
        <v>1118</v>
      </c>
      <c r="J140" s="89">
        <v>7.0</v>
      </c>
      <c r="K140" s="39"/>
      <c r="L140" s="1" t="s">
        <v>1136</v>
      </c>
      <c r="M140" s="1" t="s">
        <v>1132</v>
      </c>
      <c r="N140" s="1" t="s">
        <v>1133</v>
      </c>
      <c r="O140" s="1" t="s">
        <v>1137</v>
      </c>
      <c r="P140" s="1"/>
      <c r="Q140" s="1" t="s">
        <v>20</v>
      </c>
      <c r="R140" s="1" t="s">
        <v>1118</v>
      </c>
    </row>
    <row r="141">
      <c r="A141" s="1" t="s">
        <v>1113</v>
      </c>
      <c r="C141" s="1" t="s">
        <v>2277</v>
      </c>
      <c r="D141" s="15" t="s">
        <v>2750</v>
      </c>
      <c r="E141" s="1" t="s">
        <v>170</v>
      </c>
      <c r="F141" s="15" t="s">
        <v>2647</v>
      </c>
      <c r="H141" s="1" t="s">
        <v>54</v>
      </c>
      <c r="I141" s="1" t="s">
        <v>1118</v>
      </c>
      <c r="J141" s="73">
        <v>8.0</v>
      </c>
      <c r="K141" s="39"/>
      <c r="L141" s="1">
        <v>14.0</v>
      </c>
      <c r="M141" s="1" t="s">
        <v>1132</v>
      </c>
      <c r="N141" s="1" t="s">
        <v>1133</v>
      </c>
      <c r="O141" s="1" t="s">
        <v>1139</v>
      </c>
      <c r="P141" s="1"/>
      <c r="Q141" s="1" t="s">
        <v>20</v>
      </c>
      <c r="R141" s="1" t="s">
        <v>1118</v>
      </c>
    </row>
    <row r="142">
      <c r="A142" s="1" t="s">
        <v>1113</v>
      </c>
      <c r="C142" s="1" t="s">
        <v>2572</v>
      </c>
      <c r="D142" s="15" t="s">
        <v>2751</v>
      </c>
      <c r="E142" s="1" t="s">
        <v>503</v>
      </c>
      <c r="F142" s="15" t="s">
        <v>2752</v>
      </c>
      <c r="G142" s="1" t="s">
        <v>2753</v>
      </c>
      <c r="H142" s="1" t="s">
        <v>54</v>
      </c>
      <c r="I142" s="1" t="s">
        <v>1118</v>
      </c>
      <c r="J142" s="78">
        <v>9.0</v>
      </c>
      <c r="K142" s="39"/>
      <c r="L142" s="1">
        <v>15.0</v>
      </c>
      <c r="M142" s="1" t="s">
        <v>1140</v>
      </c>
      <c r="N142" s="1" t="s">
        <v>1133</v>
      </c>
      <c r="O142" s="1" t="s">
        <v>1141</v>
      </c>
      <c r="P142" s="1"/>
      <c r="Q142" s="1" t="s">
        <v>20</v>
      </c>
      <c r="R142" s="1" t="s">
        <v>1118</v>
      </c>
    </row>
    <row r="143">
      <c r="A143" s="1" t="s">
        <v>1113</v>
      </c>
      <c r="C143" s="1" t="s">
        <v>2572</v>
      </c>
      <c r="D143" s="15" t="s">
        <v>1124</v>
      </c>
      <c r="E143" s="1" t="s">
        <v>503</v>
      </c>
      <c r="F143" s="15" t="s">
        <v>2754</v>
      </c>
      <c r="G143" s="1" t="s">
        <v>1126</v>
      </c>
      <c r="H143" s="1" t="s">
        <v>54</v>
      </c>
      <c r="I143" s="1" t="s">
        <v>1118</v>
      </c>
      <c r="J143" s="109">
        <v>10.0</v>
      </c>
      <c r="K143" s="39"/>
      <c r="L143" s="1">
        <v>19.0</v>
      </c>
      <c r="M143" s="1" t="s">
        <v>1143</v>
      </c>
      <c r="N143" s="1" t="s">
        <v>503</v>
      </c>
      <c r="O143" s="1" t="s">
        <v>2755</v>
      </c>
      <c r="P143" s="1"/>
      <c r="Q143" s="1" t="s">
        <v>54</v>
      </c>
      <c r="R143" s="1" t="s">
        <v>1118</v>
      </c>
    </row>
    <row r="144">
      <c r="A144" s="1" t="s">
        <v>1113</v>
      </c>
      <c r="C144" s="1" t="s">
        <v>2572</v>
      </c>
      <c r="D144" s="15" t="s">
        <v>2756</v>
      </c>
      <c r="E144" s="1" t="s">
        <v>2757</v>
      </c>
      <c r="F144" s="15" t="s">
        <v>2758</v>
      </c>
      <c r="G144" s="1" t="s">
        <v>2759</v>
      </c>
      <c r="H144" s="1" t="s">
        <v>44</v>
      </c>
      <c r="I144" s="1" t="s">
        <v>1118</v>
      </c>
      <c r="J144" s="78">
        <v>11.0</v>
      </c>
      <c r="K144" s="39"/>
      <c r="L144" s="1" t="s">
        <v>1145</v>
      </c>
      <c r="M144" s="1" t="s">
        <v>1143</v>
      </c>
      <c r="N144" s="1" t="s">
        <v>748</v>
      </c>
      <c r="O144" s="1" t="s">
        <v>1146</v>
      </c>
      <c r="P144" s="1"/>
      <c r="Q144" s="92" t="s">
        <v>39</v>
      </c>
      <c r="R144" s="1" t="s">
        <v>1118</v>
      </c>
    </row>
    <row r="145">
      <c r="A145" s="1" t="s">
        <v>1113</v>
      </c>
      <c r="C145" s="1" t="s">
        <v>2572</v>
      </c>
      <c r="D145" s="15" t="s">
        <v>1132</v>
      </c>
      <c r="E145" s="1" t="s">
        <v>1133</v>
      </c>
      <c r="F145" s="15" t="s">
        <v>1134</v>
      </c>
      <c r="G145" s="1" t="s">
        <v>1135</v>
      </c>
      <c r="H145" s="1" t="s">
        <v>20</v>
      </c>
      <c r="I145" s="1" t="s">
        <v>1118</v>
      </c>
      <c r="J145" s="94">
        <v>12.0</v>
      </c>
      <c r="K145" s="39"/>
      <c r="L145" s="1">
        <v>17.0</v>
      </c>
      <c r="M145" s="1" t="s">
        <v>1147</v>
      </c>
      <c r="N145" s="1" t="s">
        <v>748</v>
      </c>
      <c r="O145" s="1" t="s">
        <v>1148</v>
      </c>
      <c r="P145" s="1" t="s">
        <v>1149</v>
      </c>
      <c r="Q145" s="1" t="s">
        <v>39</v>
      </c>
      <c r="R145" s="1" t="s">
        <v>1118</v>
      </c>
    </row>
    <row r="146">
      <c r="A146" s="1" t="s">
        <v>1113</v>
      </c>
      <c r="C146" s="1" t="s">
        <v>2572</v>
      </c>
      <c r="D146" s="15" t="s">
        <v>1132</v>
      </c>
      <c r="E146" s="1" t="s">
        <v>1133</v>
      </c>
      <c r="F146" s="15" t="s">
        <v>1137</v>
      </c>
      <c r="G146" s="1"/>
      <c r="H146" s="1" t="s">
        <v>20</v>
      </c>
      <c r="I146" s="1" t="s">
        <v>1118</v>
      </c>
      <c r="J146" s="94">
        <v>13.0</v>
      </c>
      <c r="K146" s="39"/>
      <c r="L146" s="1">
        <v>20.0</v>
      </c>
      <c r="M146" s="1" t="s">
        <v>1143</v>
      </c>
      <c r="N146" s="1" t="s">
        <v>503</v>
      </c>
      <c r="O146" s="1" t="s">
        <v>2760</v>
      </c>
      <c r="P146" s="1"/>
      <c r="Q146" s="93" t="s">
        <v>91</v>
      </c>
      <c r="R146" s="1" t="s">
        <v>1118</v>
      </c>
    </row>
    <row r="147">
      <c r="A147" s="1" t="s">
        <v>1113</v>
      </c>
      <c r="C147" s="1" t="s">
        <v>2572</v>
      </c>
      <c r="D147" s="15" t="s">
        <v>1132</v>
      </c>
      <c r="E147" s="1" t="s">
        <v>1133</v>
      </c>
      <c r="F147" s="15" t="s">
        <v>1139</v>
      </c>
      <c r="G147" s="1"/>
      <c r="H147" s="1" t="s">
        <v>20</v>
      </c>
      <c r="I147" s="1" t="s">
        <v>1118</v>
      </c>
      <c r="J147" s="81">
        <v>14.0</v>
      </c>
      <c r="K147" s="39"/>
    </row>
    <row r="148">
      <c r="A148" s="1" t="s">
        <v>1113</v>
      </c>
      <c r="C148" s="1" t="s">
        <v>2572</v>
      </c>
      <c r="D148" s="15" t="s">
        <v>1140</v>
      </c>
      <c r="E148" s="1" t="s">
        <v>1133</v>
      </c>
      <c r="F148" s="15" t="s">
        <v>1141</v>
      </c>
      <c r="G148" s="1"/>
      <c r="H148" s="1" t="s">
        <v>20</v>
      </c>
      <c r="I148" s="1" t="s">
        <v>1118</v>
      </c>
      <c r="J148" s="93">
        <v>15.0</v>
      </c>
      <c r="K148" s="39"/>
    </row>
    <row r="149">
      <c r="A149" s="1" t="s">
        <v>1113</v>
      </c>
      <c r="C149" s="1" t="s">
        <v>2572</v>
      </c>
      <c r="D149" s="15" t="s">
        <v>1120</v>
      </c>
      <c r="E149" s="1" t="s">
        <v>748</v>
      </c>
      <c r="F149" s="15" t="s">
        <v>1121</v>
      </c>
      <c r="G149" s="1" t="s">
        <v>1122</v>
      </c>
      <c r="H149" s="1" t="s">
        <v>39</v>
      </c>
      <c r="I149" s="1" t="s">
        <v>1118</v>
      </c>
      <c r="J149" s="110">
        <v>16.0</v>
      </c>
      <c r="K149" s="39"/>
    </row>
    <row r="150">
      <c r="A150" s="1" t="s">
        <v>1113</v>
      </c>
      <c r="C150" s="1" t="s">
        <v>2572</v>
      </c>
      <c r="D150" s="15" t="s">
        <v>1147</v>
      </c>
      <c r="E150" s="1" t="s">
        <v>748</v>
      </c>
      <c r="F150" s="15" t="s">
        <v>1148</v>
      </c>
      <c r="G150" s="1" t="s">
        <v>2624</v>
      </c>
      <c r="H150" s="1" t="s">
        <v>39</v>
      </c>
      <c r="I150" s="1" t="s">
        <v>1118</v>
      </c>
      <c r="J150" s="91">
        <v>17.0</v>
      </c>
      <c r="K150" s="39"/>
    </row>
    <row r="151">
      <c r="A151" s="1" t="s">
        <v>1113</v>
      </c>
      <c r="C151" s="1" t="s">
        <v>2572</v>
      </c>
      <c r="D151" s="15" t="s">
        <v>1143</v>
      </c>
      <c r="E151" s="1" t="s">
        <v>748</v>
      </c>
      <c r="F151" s="15" t="s">
        <v>1146</v>
      </c>
      <c r="G151" s="1"/>
      <c r="H151" s="1" t="s">
        <v>39</v>
      </c>
      <c r="I151" s="1" t="s">
        <v>1118</v>
      </c>
      <c r="J151" s="73">
        <v>18.0</v>
      </c>
      <c r="K151" s="39"/>
    </row>
    <row r="152">
      <c r="A152" s="1" t="s">
        <v>1113</v>
      </c>
      <c r="C152" s="1" t="s">
        <v>2572</v>
      </c>
      <c r="D152" s="15" t="s">
        <v>1143</v>
      </c>
      <c r="E152" s="1" t="s">
        <v>503</v>
      </c>
      <c r="F152" s="15" t="s">
        <v>2755</v>
      </c>
      <c r="G152" s="1"/>
      <c r="H152" s="1" t="s">
        <v>54</v>
      </c>
      <c r="I152" s="1" t="s">
        <v>1118</v>
      </c>
      <c r="J152" s="83">
        <v>19.0</v>
      </c>
      <c r="K152" s="39"/>
    </row>
    <row r="153">
      <c r="A153" s="1" t="s">
        <v>1113</v>
      </c>
      <c r="C153" s="1" t="s">
        <v>2572</v>
      </c>
      <c r="D153" s="15" t="s">
        <v>1143</v>
      </c>
      <c r="E153" s="1" t="s">
        <v>503</v>
      </c>
      <c r="F153" s="15" t="s">
        <v>2760</v>
      </c>
      <c r="G153" s="1"/>
      <c r="H153" s="1" t="s">
        <v>54</v>
      </c>
      <c r="I153" s="1" t="s">
        <v>1118</v>
      </c>
      <c r="J153" s="104">
        <v>20.0</v>
      </c>
      <c r="K153" s="39"/>
    </row>
    <row r="154">
      <c r="A154" s="69"/>
      <c r="B154" s="67"/>
      <c r="C154" s="67"/>
      <c r="D154" s="96"/>
      <c r="E154" s="67"/>
      <c r="F154" s="96"/>
      <c r="G154" s="67"/>
      <c r="H154" s="67"/>
      <c r="I154" s="67"/>
      <c r="J154" s="67"/>
      <c r="K154" s="67"/>
      <c r="L154" s="67"/>
      <c r="M154" s="67"/>
      <c r="N154" s="67"/>
      <c r="O154" s="67"/>
      <c r="P154" s="67"/>
      <c r="Q154" s="67"/>
      <c r="R154" s="67"/>
      <c r="S154" s="67"/>
      <c r="T154" s="67"/>
      <c r="U154" s="67"/>
      <c r="V154" s="67"/>
      <c r="W154" s="67"/>
      <c r="X154" s="67"/>
      <c r="Y154" s="67"/>
      <c r="Z154" s="67"/>
      <c r="AA154" s="67"/>
      <c r="AB154" s="67"/>
      <c r="AC154" s="67"/>
      <c r="AD154" s="67"/>
      <c r="AE154" s="67"/>
    </row>
    <row r="155">
      <c r="A155" s="1" t="s">
        <v>1153</v>
      </c>
      <c r="C155" s="1" t="s">
        <v>2277</v>
      </c>
      <c r="D155" s="15" t="s">
        <v>2674</v>
      </c>
      <c r="F155" s="10"/>
      <c r="K155" s="39"/>
    </row>
    <row r="156">
      <c r="A156" s="1" t="s">
        <v>1153</v>
      </c>
      <c r="C156" s="1" t="s">
        <v>2572</v>
      </c>
      <c r="D156" s="15" t="s">
        <v>2674</v>
      </c>
      <c r="F156" s="10"/>
      <c r="K156" s="39"/>
    </row>
    <row r="157">
      <c r="A157" s="69"/>
      <c r="B157" s="67"/>
      <c r="C157" s="67"/>
      <c r="D157" s="96"/>
      <c r="E157" s="67"/>
      <c r="F157" s="96"/>
      <c r="G157" s="67"/>
      <c r="H157" s="67"/>
      <c r="I157" s="67"/>
      <c r="J157" s="67"/>
      <c r="K157" s="67"/>
      <c r="L157" s="67"/>
      <c r="M157" s="67"/>
      <c r="N157" s="67"/>
      <c r="O157" s="67"/>
      <c r="P157" s="67"/>
      <c r="Q157" s="67"/>
      <c r="R157" s="67"/>
      <c r="S157" s="67"/>
      <c r="T157" s="67"/>
      <c r="U157" s="67"/>
      <c r="V157" s="67"/>
      <c r="W157" s="67"/>
      <c r="X157" s="67"/>
      <c r="Y157" s="67"/>
      <c r="Z157" s="67"/>
      <c r="AA157" s="67"/>
      <c r="AB157" s="67"/>
      <c r="AC157" s="67"/>
      <c r="AD157" s="67"/>
      <c r="AE157" s="67"/>
    </row>
    <row r="158">
      <c r="A158" s="1" t="s">
        <v>1154</v>
      </c>
      <c r="C158" s="89" t="s">
        <v>2277</v>
      </c>
      <c r="D158" s="97" t="s">
        <v>2761</v>
      </c>
      <c r="E158" s="89" t="s">
        <v>1036</v>
      </c>
      <c r="F158" s="97" t="s">
        <v>2762</v>
      </c>
      <c r="G158" s="89" t="s">
        <v>2763</v>
      </c>
      <c r="H158" s="89" t="s">
        <v>44</v>
      </c>
      <c r="I158" s="89" t="s">
        <v>1160</v>
      </c>
      <c r="J158" s="89">
        <v>1.0</v>
      </c>
      <c r="K158" s="39"/>
      <c r="L158" s="1" t="s">
        <v>1155</v>
      </c>
      <c r="M158" s="1" t="s">
        <v>1156</v>
      </c>
      <c r="N158" s="1" t="s">
        <v>1003</v>
      </c>
      <c r="O158" s="1" t="s">
        <v>1158</v>
      </c>
      <c r="P158" s="1" t="s">
        <v>1159</v>
      </c>
      <c r="Q158" s="1" t="s">
        <v>14</v>
      </c>
      <c r="R158" s="1" t="s">
        <v>1160</v>
      </c>
    </row>
    <row r="159">
      <c r="A159" s="1" t="s">
        <v>1154</v>
      </c>
      <c r="C159" s="89" t="s">
        <v>2277</v>
      </c>
      <c r="D159" s="97" t="s">
        <v>2761</v>
      </c>
      <c r="E159" s="89" t="s">
        <v>2764</v>
      </c>
      <c r="F159" s="97" t="s">
        <v>2765</v>
      </c>
      <c r="G159" s="98"/>
      <c r="H159" s="89" t="s">
        <v>14</v>
      </c>
      <c r="I159" s="89" t="s">
        <v>1160</v>
      </c>
      <c r="J159" s="89">
        <v>2.0</v>
      </c>
      <c r="K159" s="39"/>
      <c r="L159" s="1" t="s">
        <v>1161</v>
      </c>
      <c r="M159" s="1" t="s">
        <v>1156</v>
      </c>
      <c r="N159" s="1" t="s">
        <v>1365</v>
      </c>
      <c r="O159" s="1" t="s">
        <v>1163</v>
      </c>
      <c r="P159" s="1" t="s">
        <v>1164</v>
      </c>
      <c r="Q159" s="1" t="s">
        <v>20</v>
      </c>
      <c r="R159" s="1" t="s">
        <v>1160</v>
      </c>
    </row>
    <row r="160">
      <c r="A160" s="1" t="s">
        <v>1154</v>
      </c>
      <c r="C160" s="1" t="s">
        <v>2277</v>
      </c>
      <c r="D160" s="15" t="s">
        <v>2766</v>
      </c>
      <c r="E160" s="1" t="s">
        <v>170</v>
      </c>
      <c r="F160" s="15" t="s">
        <v>2767</v>
      </c>
      <c r="G160" s="1" t="s">
        <v>2768</v>
      </c>
      <c r="H160" s="1" t="s">
        <v>14</v>
      </c>
      <c r="I160" s="1" t="s">
        <v>1160</v>
      </c>
      <c r="J160" s="92">
        <v>3.0</v>
      </c>
      <c r="K160" s="39"/>
      <c r="L160" s="1" t="s">
        <v>1165</v>
      </c>
      <c r="M160" s="1" t="s">
        <v>1166</v>
      </c>
      <c r="N160" s="1" t="s">
        <v>2769</v>
      </c>
      <c r="O160" s="1" t="s">
        <v>1167</v>
      </c>
      <c r="P160" s="1" t="s">
        <v>1168</v>
      </c>
      <c r="Q160" s="1" t="s">
        <v>54</v>
      </c>
      <c r="R160" s="1" t="s">
        <v>1160</v>
      </c>
    </row>
    <row r="161">
      <c r="A161" s="1" t="s">
        <v>1154</v>
      </c>
      <c r="C161" s="1" t="s">
        <v>2277</v>
      </c>
      <c r="D161" s="15" t="s">
        <v>2766</v>
      </c>
      <c r="E161" s="1" t="s">
        <v>170</v>
      </c>
      <c r="F161" s="15" t="s">
        <v>2770</v>
      </c>
      <c r="H161" s="1" t="s">
        <v>14</v>
      </c>
      <c r="I161" s="1" t="s">
        <v>1160</v>
      </c>
      <c r="J161" s="91">
        <v>4.0</v>
      </c>
      <c r="K161" s="39"/>
      <c r="L161" s="1" t="s">
        <v>1131</v>
      </c>
      <c r="M161" s="1" t="s">
        <v>1169</v>
      </c>
      <c r="N161" s="1" t="s">
        <v>1170</v>
      </c>
      <c r="O161" s="1" t="s">
        <v>1171</v>
      </c>
      <c r="P161" s="1" t="s">
        <v>1172</v>
      </c>
      <c r="Q161" s="1" t="s">
        <v>39</v>
      </c>
      <c r="R161" s="1" t="s">
        <v>1160</v>
      </c>
    </row>
    <row r="162">
      <c r="A162" s="1" t="s">
        <v>1154</v>
      </c>
      <c r="C162" s="1" t="s">
        <v>2277</v>
      </c>
      <c r="D162" s="15" t="s">
        <v>2766</v>
      </c>
      <c r="E162" s="1" t="s">
        <v>170</v>
      </c>
      <c r="F162" s="15" t="s">
        <v>2771</v>
      </c>
      <c r="H162" s="1" t="s">
        <v>54</v>
      </c>
      <c r="I162" s="1" t="s">
        <v>1160</v>
      </c>
      <c r="J162" s="80">
        <v>5.0</v>
      </c>
      <c r="K162" s="39"/>
      <c r="L162" s="1">
        <v>7.0</v>
      </c>
      <c r="M162" s="1" t="s">
        <v>1173</v>
      </c>
      <c r="N162" s="1" t="s">
        <v>1174</v>
      </c>
      <c r="O162" s="1" t="s">
        <v>2772</v>
      </c>
      <c r="P162" s="1" t="s">
        <v>2773</v>
      </c>
      <c r="Q162" s="1" t="s">
        <v>14</v>
      </c>
      <c r="R162" s="1" t="s">
        <v>1160</v>
      </c>
    </row>
    <row r="163">
      <c r="A163" s="1" t="s">
        <v>1154</v>
      </c>
      <c r="C163" s="1" t="s">
        <v>2277</v>
      </c>
      <c r="D163" s="15" t="s">
        <v>2774</v>
      </c>
      <c r="E163" s="1" t="s">
        <v>857</v>
      </c>
      <c r="F163" s="15" t="s">
        <v>2775</v>
      </c>
      <c r="H163" s="1" t="s">
        <v>39</v>
      </c>
      <c r="I163" s="1" t="s">
        <v>1160</v>
      </c>
      <c r="J163" s="86">
        <v>6.0</v>
      </c>
      <c r="K163" s="39"/>
      <c r="L163" s="1">
        <v>11.0</v>
      </c>
      <c r="M163" s="1" t="s">
        <v>1177</v>
      </c>
      <c r="N163" s="1" t="s">
        <v>1178</v>
      </c>
      <c r="O163" s="1" t="s">
        <v>1179</v>
      </c>
      <c r="P163" s="1" t="s">
        <v>1180</v>
      </c>
      <c r="Q163" s="1" t="s">
        <v>54</v>
      </c>
      <c r="R163" s="1" t="s">
        <v>1160</v>
      </c>
    </row>
    <row r="164">
      <c r="A164" s="1" t="s">
        <v>1154</v>
      </c>
      <c r="C164" s="1" t="s">
        <v>2572</v>
      </c>
      <c r="D164" s="15" t="s">
        <v>1173</v>
      </c>
      <c r="E164" s="1" t="s">
        <v>1174</v>
      </c>
      <c r="F164" s="15" t="s">
        <v>2772</v>
      </c>
      <c r="G164" s="1" t="s">
        <v>2773</v>
      </c>
      <c r="H164" s="1" t="s">
        <v>14</v>
      </c>
      <c r="I164" s="1" t="s">
        <v>2028</v>
      </c>
      <c r="J164" s="95">
        <v>7.0</v>
      </c>
      <c r="K164" s="39"/>
    </row>
    <row r="165">
      <c r="A165" s="1" t="s">
        <v>1154</v>
      </c>
      <c r="C165" s="1" t="s">
        <v>2572</v>
      </c>
      <c r="D165" s="15" t="s">
        <v>1156</v>
      </c>
      <c r="E165" s="1" t="s">
        <v>1003</v>
      </c>
      <c r="F165" s="15" t="s">
        <v>1158</v>
      </c>
      <c r="G165" s="1" t="s">
        <v>1159</v>
      </c>
      <c r="H165" s="1" t="s">
        <v>14</v>
      </c>
      <c r="I165" s="1" t="s">
        <v>2028</v>
      </c>
      <c r="J165" s="92">
        <v>8.0</v>
      </c>
      <c r="K165" s="39"/>
    </row>
    <row r="166">
      <c r="A166" s="1" t="s">
        <v>1154</v>
      </c>
      <c r="C166" s="1" t="s">
        <v>2572</v>
      </c>
      <c r="D166" s="15" t="s">
        <v>1156</v>
      </c>
      <c r="E166" s="1" t="s">
        <v>1365</v>
      </c>
      <c r="F166" s="15" t="s">
        <v>1163</v>
      </c>
      <c r="G166" s="1" t="s">
        <v>1164</v>
      </c>
      <c r="H166" s="1" t="s">
        <v>20</v>
      </c>
      <c r="I166" s="1" t="s">
        <v>2028</v>
      </c>
      <c r="J166" s="91">
        <v>9.0</v>
      </c>
      <c r="K166" s="39"/>
    </row>
    <row r="167">
      <c r="A167" s="1" t="s">
        <v>1154</v>
      </c>
      <c r="C167" s="1" t="s">
        <v>2572</v>
      </c>
      <c r="D167" s="15" t="s">
        <v>1166</v>
      </c>
      <c r="E167" s="1" t="s">
        <v>2769</v>
      </c>
      <c r="F167" s="15" t="s">
        <v>1167</v>
      </c>
      <c r="G167" s="1" t="s">
        <v>1168</v>
      </c>
      <c r="H167" s="1" t="s">
        <v>54</v>
      </c>
      <c r="I167" s="1" t="s">
        <v>2028</v>
      </c>
      <c r="J167" s="80">
        <v>10.0</v>
      </c>
      <c r="K167" s="39"/>
    </row>
    <row r="168">
      <c r="A168" s="1" t="s">
        <v>1154</v>
      </c>
      <c r="C168" s="1" t="s">
        <v>2572</v>
      </c>
      <c r="D168" s="15" t="s">
        <v>1177</v>
      </c>
      <c r="E168" s="1" t="s">
        <v>1178</v>
      </c>
      <c r="F168" s="15" t="s">
        <v>1179</v>
      </c>
      <c r="G168" s="1" t="s">
        <v>1180</v>
      </c>
      <c r="H168" s="1" t="s">
        <v>54</v>
      </c>
      <c r="I168" s="1" t="s">
        <v>2028</v>
      </c>
      <c r="J168" s="78">
        <v>11.0</v>
      </c>
      <c r="K168" s="39"/>
    </row>
    <row r="169">
      <c r="A169" s="1" t="s">
        <v>1154</v>
      </c>
      <c r="C169" s="1" t="s">
        <v>2572</v>
      </c>
      <c r="D169" s="15" t="s">
        <v>1169</v>
      </c>
      <c r="E169" s="1" t="s">
        <v>1170</v>
      </c>
      <c r="F169" s="15" t="s">
        <v>1171</v>
      </c>
      <c r="G169" s="1" t="s">
        <v>1172</v>
      </c>
      <c r="H169" s="1" t="s">
        <v>39</v>
      </c>
      <c r="I169" s="1" t="s">
        <v>2028</v>
      </c>
      <c r="J169" s="86">
        <v>12.0</v>
      </c>
      <c r="K169" s="39"/>
    </row>
    <row r="170">
      <c r="A170" s="69"/>
      <c r="B170" s="67"/>
      <c r="C170" s="67"/>
      <c r="D170" s="96"/>
      <c r="E170" s="67"/>
      <c r="F170" s="96"/>
      <c r="G170" s="67"/>
      <c r="H170" s="67"/>
      <c r="I170" s="67"/>
      <c r="J170" s="67"/>
      <c r="K170" s="67"/>
      <c r="L170" s="67"/>
      <c r="M170" s="67"/>
      <c r="N170" s="67"/>
      <c r="O170" s="67"/>
      <c r="P170" s="67"/>
      <c r="Q170" s="67"/>
      <c r="R170" s="67"/>
      <c r="S170" s="67"/>
      <c r="T170" s="67"/>
      <c r="U170" s="67"/>
      <c r="V170" s="67"/>
      <c r="W170" s="67"/>
      <c r="X170" s="67"/>
      <c r="Y170" s="67"/>
      <c r="Z170" s="67"/>
      <c r="AA170" s="67"/>
      <c r="AB170" s="67"/>
      <c r="AC170" s="67"/>
      <c r="AD170" s="67"/>
      <c r="AE170" s="67"/>
    </row>
    <row r="171">
      <c r="A171" s="1" t="s">
        <v>1181</v>
      </c>
      <c r="C171" s="1" t="s">
        <v>2572</v>
      </c>
      <c r="D171" s="15" t="s">
        <v>1183</v>
      </c>
      <c r="E171" s="1" t="s">
        <v>2776</v>
      </c>
      <c r="F171" s="15" t="s">
        <v>2777</v>
      </c>
      <c r="G171" s="1" t="s">
        <v>2778</v>
      </c>
      <c r="H171" s="1" t="s">
        <v>14</v>
      </c>
      <c r="I171" s="1" t="s">
        <v>1186</v>
      </c>
      <c r="J171" s="83">
        <v>1.0</v>
      </c>
      <c r="K171" s="39"/>
      <c r="L171" s="1" t="s">
        <v>1182</v>
      </c>
      <c r="M171" s="1" t="s">
        <v>1183</v>
      </c>
      <c r="O171" s="1" t="s">
        <v>1184</v>
      </c>
      <c r="P171" s="1" t="s">
        <v>1185</v>
      </c>
      <c r="Q171" s="1" t="s">
        <v>44</v>
      </c>
      <c r="R171" s="1" t="s">
        <v>1186</v>
      </c>
    </row>
    <row r="172">
      <c r="A172" s="1" t="s">
        <v>1181</v>
      </c>
      <c r="C172" s="1" t="s">
        <v>2572</v>
      </c>
      <c r="D172" s="15" t="s">
        <v>1187</v>
      </c>
      <c r="E172" s="1" t="s">
        <v>1188</v>
      </c>
      <c r="F172" s="15" t="s">
        <v>1189</v>
      </c>
      <c r="G172" s="1" t="s">
        <v>1190</v>
      </c>
      <c r="H172" s="1" t="s">
        <v>14</v>
      </c>
      <c r="I172" s="1" t="s">
        <v>1186</v>
      </c>
      <c r="J172" s="92">
        <v>2.0</v>
      </c>
      <c r="K172" s="39"/>
      <c r="L172" s="1">
        <v>2.0</v>
      </c>
      <c r="M172" s="1" t="s">
        <v>1187</v>
      </c>
      <c r="N172" s="1" t="s">
        <v>1188</v>
      </c>
      <c r="O172" s="1" t="s">
        <v>1189</v>
      </c>
      <c r="P172" s="1" t="s">
        <v>1190</v>
      </c>
      <c r="Q172" s="1" t="s">
        <v>14</v>
      </c>
      <c r="R172" s="1" t="s">
        <v>1186</v>
      </c>
    </row>
    <row r="173">
      <c r="A173" s="1" t="s">
        <v>1181</v>
      </c>
      <c r="C173" s="1" t="s">
        <v>2572</v>
      </c>
      <c r="D173" s="15" t="s">
        <v>2779</v>
      </c>
      <c r="E173" s="1" t="s">
        <v>1202</v>
      </c>
      <c r="F173" s="15" t="s">
        <v>2780</v>
      </c>
      <c r="G173" s="1" t="s">
        <v>2781</v>
      </c>
      <c r="H173" s="1" t="s">
        <v>54</v>
      </c>
      <c r="I173" s="1" t="s">
        <v>1186</v>
      </c>
      <c r="J173" s="91">
        <v>3.0</v>
      </c>
      <c r="K173" s="39"/>
      <c r="L173" s="1">
        <v>14.0</v>
      </c>
      <c r="M173" s="1" t="s">
        <v>1187</v>
      </c>
      <c r="O173" s="1" t="s">
        <v>2782</v>
      </c>
      <c r="P173" s="1" t="s">
        <v>2783</v>
      </c>
      <c r="Q173" s="1" t="s">
        <v>44</v>
      </c>
      <c r="R173" s="1" t="s">
        <v>1186</v>
      </c>
    </row>
    <row r="174">
      <c r="A174" s="1" t="s">
        <v>1181</v>
      </c>
      <c r="C174" s="1" t="s">
        <v>2572</v>
      </c>
      <c r="D174" s="15" t="s">
        <v>1197</v>
      </c>
      <c r="E174" s="1" t="s">
        <v>1198</v>
      </c>
      <c r="F174" s="15" t="s">
        <v>1199</v>
      </c>
      <c r="G174" s="55" t="s">
        <v>2784</v>
      </c>
      <c r="H174" s="1" t="s">
        <v>44</v>
      </c>
      <c r="I174" s="1" t="s">
        <v>1186</v>
      </c>
      <c r="J174" s="84">
        <v>4.0</v>
      </c>
      <c r="K174" s="39"/>
      <c r="L174" s="1" t="s">
        <v>1191</v>
      </c>
      <c r="M174" s="1" t="s">
        <v>1192</v>
      </c>
      <c r="N174" s="1" t="s">
        <v>1193</v>
      </c>
      <c r="O174" s="1" t="s">
        <v>1194</v>
      </c>
      <c r="P174" s="1" t="s">
        <v>1195</v>
      </c>
      <c r="Q174" s="1" t="s">
        <v>54</v>
      </c>
      <c r="R174" s="1" t="s">
        <v>1186</v>
      </c>
    </row>
    <row r="175">
      <c r="A175" s="1" t="s">
        <v>1181</v>
      </c>
      <c r="C175" s="1" t="s">
        <v>2572</v>
      </c>
      <c r="D175" s="15" t="s">
        <v>1201</v>
      </c>
      <c r="E175" s="1" t="s">
        <v>1202</v>
      </c>
      <c r="F175" s="15" t="s">
        <v>1203</v>
      </c>
      <c r="G175" s="1" t="s">
        <v>1204</v>
      </c>
      <c r="H175" s="1" t="s">
        <v>54</v>
      </c>
      <c r="I175" s="1" t="s">
        <v>1186</v>
      </c>
      <c r="J175" s="78">
        <v>5.0</v>
      </c>
      <c r="K175" s="39"/>
      <c r="L175" s="1" t="s">
        <v>1196</v>
      </c>
      <c r="M175" s="1" t="s">
        <v>1197</v>
      </c>
      <c r="N175" s="1" t="s">
        <v>1198</v>
      </c>
      <c r="O175" s="1" t="s">
        <v>1199</v>
      </c>
      <c r="P175" s="1" t="s">
        <v>2784</v>
      </c>
      <c r="Q175" s="1" t="s">
        <v>44</v>
      </c>
      <c r="R175" s="1" t="s">
        <v>1186</v>
      </c>
    </row>
    <row r="176">
      <c r="A176" s="1" t="s">
        <v>1181</v>
      </c>
      <c r="C176" s="1" t="s">
        <v>2572</v>
      </c>
      <c r="D176" s="15" t="s">
        <v>1209</v>
      </c>
      <c r="E176" s="1" t="s">
        <v>1202</v>
      </c>
      <c r="F176" s="15" t="s">
        <v>2785</v>
      </c>
      <c r="G176" s="1" t="s">
        <v>2786</v>
      </c>
      <c r="H176" s="1" t="s">
        <v>54</v>
      </c>
      <c r="I176" s="1" t="s">
        <v>1186</v>
      </c>
      <c r="J176" s="109">
        <v>6.0</v>
      </c>
      <c r="K176" s="39"/>
      <c r="L176" s="1">
        <v>5.0</v>
      </c>
      <c r="M176" s="1" t="s">
        <v>1201</v>
      </c>
      <c r="N176" s="1" t="s">
        <v>1202</v>
      </c>
      <c r="O176" s="1" t="s">
        <v>1203</v>
      </c>
      <c r="P176" s="1" t="s">
        <v>1204</v>
      </c>
      <c r="Q176" s="1" t="s">
        <v>54</v>
      </c>
      <c r="R176" s="1" t="s">
        <v>1186</v>
      </c>
    </row>
    <row r="177">
      <c r="A177" s="1" t="s">
        <v>1181</v>
      </c>
      <c r="C177" s="1" t="s">
        <v>2572</v>
      </c>
      <c r="D177" s="15" t="s">
        <v>1213</v>
      </c>
      <c r="E177" s="1" t="s">
        <v>2787</v>
      </c>
      <c r="F177" s="15" t="s">
        <v>1215</v>
      </c>
      <c r="G177" s="1" t="s">
        <v>2788</v>
      </c>
      <c r="H177" s="1" t="s">
        <v>2388</v>
      </c>
      <c r="I177" s="1" t="s">
        <v>1186</v>
      </c>
      <c r="J177" s="73">
        <v>7.0</v>
      </c>
      <c r="K177" s="39"/>
      <c r="L177" s="1">
        <v>17.0</v>
      </c>
      <c r="M177" s="1" t="s">
        <v>1201</v>
      </c>
      <c r="N177" s="1" t="s">
        <v>1205</v>
      </c>
      <c r="O177" s="1" t="s">
        <v>1206</v>
      </c>
      <c r="P177" s="1" t="s">
        <v>2789</v>
      </c>
      <c r="Q177" s="1" t="s">
        <v>39</v>
      </c>
      <c r="R177" s="1" t="s">
        <v>1186</v>
      </c>
    </row>
    <row r="178">
      <c r="A178" s="1" t="s">
        <v>1181</v>
      </c>
      <c r="C178" s="1" t="s">
        <v>2572</v>
      </c>
      <c r="D178" s="15" t="s">
        <v>1226</v>
      </c>
      <c r="E178" s="1" t="s">
        <v>1227</v>
      </c>
      <c r="F178" s="15" t="s">
        <v>1228</v>
      </c>
      <c r="G178" s="1" t="s">
        <v>1229</v>
      </c>
      <c r="H178" s="1" t="s">
        <v>39</v>
      </c>
      <c r="I178" s="1" t="s">
        <v>1186</v>
      </c>
      <c r="J178" s="79">
        <v>8.0</v>
      </c>
      <c r="K178" s="39"/>
      <c r="L178" s="1" t="s">
        <v>1208</v>
      </c>
      <c r="M178" s="1" t="s">
        <v>1209</v>
      </c>
      <c r="N178" s="1" t="s">
        <v>1210</v>
      </c>
      <c r="O178" s="1" t="s">
        <v>1211</v>
      </c>
      <c r="P178" s="1" t="s">
        <v>2790</v>
      </c>
      <c r="Q178" s="81" t="s">
        <v>39</v>
      </c>
      <c r="R178" s="1" t="s">
        <v>1186</v>
      </c>
    </row>
    <row r="179">
      <c r="A179" s="1" t="s">
        <v>1181</v>
      </c>
      <c r="C179" s="1" t="s">
        <v>2572</v>
      </c>
      <c r="D179" s="15" t="s">
        <v>1230</v>
      </c>
      <c r="E179" s="1" t="s">
        <v>1227</v>
      </c>
      <c r="F179" s="15" t="s">
        <v>933</v>
      </c>
      <c r="G179" s="1" t="s">
        <v>1231</v>
      </c>
      <c r="H179" s="1" t="s">
        <v>39</v>
      </c>
      <c r="I179" s="1" t="s">
        <v>1186</v>
      </c>
      <c r="J179" s="80">
        <v>9.0</v>
      </c>
      <c r="K179" s="39"/>
      <c r="L179" s="1" t="s">
        <v>1008</v>
      </c>
      <c r="M179" s="1" t="s">
        <v>1213</v>
      </c>
      <c r="N179" s="1" t="s">
        <v>1214</v>
      </c>
      <c r="O179" s="1" t="s">
        <v>1215</v>
      </c>
      <c r="P179" s="1" t="s">
        <v>1216</v>
      </c>
      <c r="Q179" s="81" t="s">
        <v>54</v>
      </c>
      <c r="R179" s="1" t="s">
        <v>1186</v>
      </c>
    </row>
    <row r="180">
      <c r="A180" s="1" t="s">
        <v>1181</v>
      </c>
      <c r="C180" s="1" t="s">
        <v>2572</v>
      </c>
      <c r="D180" s="15" t="s">
        <v>2791</v>
      </c>
      <c r="E180" s="1" t="s">
        <v>1227</v>
      </c>
      <c r="F180" s="15" t="s">
        <v>2792</v>
      </c>
      <c r="G180" s="1" t="s">
        <v>2793</v>
      </c>
      <c r="H180" s="1" t="s">
        <v>39</v>
      </c>
      <c r="I180" s="1" t="s">
        <v>1186</v>
      </c>
      <c r="J180" s="92">
        <v>10.0</v>
      </c>
      <c r="K180" s="39"/>
      <c r="L180" s="1">
        <v>20.0</v>
      </c>
      <c r="M180" s="1" t="s">
        <v>1217</v>
      </c>
      <c r="N180" s="1" t="s">
        <v>698</v>
      </c>
      <c r="O180" s="1" t="s">
        <v>1218</v>
      </c>
      <c r="P180" s="1" t="s">
        <v>1219</v>
      </c>
      <c r="Q180" s="1" t="s">
        <v>54</v>
      </c>
      <c r="R180" s="1" t="s">
        <v>1186</v>
      </c>
    </row>
    <row r="181">
      <c r="A181" s="1" t="s">
        <v>1181</v>
      </c>
      <c r="C181" s="1" t="s">
        <v>2572</v>
      </c>
      <c r="D181" s="15" t="s">
        <v>1232</v>
      </c>
      <c r="E181" s="1" t="s">
        <v>1233</v>
      </c>
      <c r="F181" s="15" t="s">
        <v>1234</v>
      </c>
      <c r="G181" s="1" t="s">
        <v>1235</v>
      </c>
      <c r="H181" s="1" t="s">
        <v>39</v>
      </c>
      <c r="I181" s="1" t="s">
        <v>1186</v>
      </c>
      <c r="J181" s="83">
        <v>11.0</v>
      </c>
      <c r="K181" s="39"/>
      <c r="L181" s="1">
        <v>21.0</v>
      </c>
      <c r="M181" s="1" t="s">
        <v>1217</v>
      </c>
      <c r="N181" s="1" t="s">
        <v>698</v>
      </c>
      <c r="O181" s="1" t="s">
        <v>1220</v>
      </c>
      <c r="P181" s="1" t="s">
        <v>1221</v>
      </c>
      <c r="Q181" s="1" t="s">
        <v>54</v>
      </c>
      <c r="R181" s="1" t="s">
        <v>1186</v>
      </c>
    </row>
    <row r="182">
      <c r="A182" s="1" t="s">
        <v>1181</v>
      </c>
      <c r="C182" s="1" t="s">
        <v>2572</v>
      </c>
      <c r="D182" s="15" t="s">
        <v>1236</v>
      </c>
      <c r="E182" s="1" t="s">
        <v>1237</v>
      </c>
      <c r="F182" s="15" t="s">
        <v>1238</v>
      </c>
      <c r="G182" s="1" t="s">
        <v>1239</v>
      </c>
      <c r="H182" s="1" t="s">
        <v>39</v>
      </c>
      <c r="I182" s="1" t="s">
        <v>1186</v>
      </c>
      <c r="J182" s="95">
        <v>12.0</v>
      </c>
      <c r="K182" s="39"/>
      <c r="L182" s="1">
        <v>22.0</v>
      </c>
      <c r="M182" s="1" t="s">
        <v>1217</v>
      </c>
      <c r="N182" s="1" t="s">
        <v>698</v>
      </c>
      <c r="O182" s="1" t="s">
        <v>1222</v>
      </c>
      <c r="P182" s="1" t="s">
        <v>1223</v>
      </c>
      <c r="Q182" s="1" t="s">
        <v>54</v>
      </c>
      <c r="R182" s="1" t="s">
        <v>1186</v>
      </c>
    </row>
    <row r="183">
      <c r="A183" s="1" t="s">
        <v>1181</v>
      </c>
      <c r="C183" s="1" t="s">
        <v>2346</v>
      </c>
      <c r="D183" s="15" t="s">
        <v>1183</v>
      </c>
      <c r="F183" s="15" t="s">
        <v>2794</v>
      </c>
      <c r="G183" s="1" t="s">
        <v>1185</v>
      </c>
      <c r="H183" s="1" t="s">
        <v>44</v>
      </c>
      <c r="I183" s="1" t="s">
        <v>1186</v>
      </c>
      <c r="J183" s="83">
        <v>13.0</v>
      </c>
      <c r="K183" s="39"/>
      <c r="L183" s="1">
        <v>23.0</v>
      </c>
      <c r="M183" s="1" t="s">
        <v>1224</v>
      </c>
      <c r="N183" s="1" t="s">
        <v>1205</v>
      </c>
      <c r="O183" s="1" t="s">
        <v>2562</v>
      </c>
      <c r="P183" s="1" t="s">
        <v>716</v>
      </c>
      <c r="Q183" s="1" t="s">
        <v>39</v>
      </c>
      <c r="R183" s="1" t="s">
        <v>1186</v>
      </c>
    </row>
    <row r="184">
      <c r="A184" s="1" t="s">
        <v>1181</v>
      </c>
      <c r="C184" s="1" t="s">
        <v>2346</v>
      </c>
      <c r="D184" s="15" t="s">
        <v>1187</v>
      </c>
      <c r="F184" s="15" t="s">
        <v>2782</v>
      </c>
      <c r="G184" s="1" t="s">
        <v>2783</v>
      </c>
      <c r="H184" s="1" t="s">
        <v>44</v>
      </c>
      <c r="I184" s="1" t="s">
        <v>1186</v>
      </c>
      <c r="J184" s="79">
        <v>14.0</v>
      </c>
      <c r="K184" s="39"/>
      <c r="L184" s="1">
        <v>8.0</v>
      </c>
      <c r="M184" s="1" t="s">
        <v>1226</v>
      </c>
      <c r="N184" s="1" t="s">
        <v>1227</v>
      </c>
      <c r="O184" s="1" t="s">
        <v>1228</v>
      </c>
      <c r="P184" s="1" t="s">
        <v>1229</v>
      </c>
      <c r="Q184" s="1" t="s">
        <v>39</v>
      </c>
      <c r="R184" s="1" t="s">
        <v>1186</v>
      </c>
    </row>
    <row r="185">
      <c r="A185" s="1" t="s">
        <v>1181</v>
      </c>
      <c r="C185" s="1" t="s">
        <v>2346</v>
      </c>
      <c r="D185" s="15" t="s">
        <v>2795</v>
      </c>
      <c r="E185" s="1" t="s">
        <v>2796</v>
      </c>
      <c r="F185" s="15" t="s">
        <v>2797</v>
      </c>
      <c r="G185" s="1" t="s">
        <v>2798</v>
      </c>
      <c r="H185" s="1" t="s">
        <v>54</v>
      </c>
      <c r="I185" s="1" t="s">
        <v>1186</v>
      </c>
      <c r="J185" s="91">
        <v>15.0</v>
      </c>
      <c r="K185" s="39"/>
      <c r="L185" s="1">
        <v>9.0</v>
      </c>
      <c r="M185" s="1" t="s">
        <v>1230</v>
      </c>
      <c r="N185" s="1" t="s">
        <v>1227</v>
      </c>
      <c r="O185" s="1" t="s">
        <v>933</v>
      </c>
      <c r="P185" s="1" t="s">
        <v>1231</v>
      </c>
      <c r="Q185" s="1" t="s">
        <v>39</v>
      </c>
      <c r="R185" s="1" t="s">
        <v>1186</v>
      </c>
    </row>
    <row r="186">
      <c r="A186" s="1" t="s">
        <v>1181</v>
      </c>
      <c r="C186" s="1" t="s">
        <v>2346</v>
      </c>
      <c r="D186" s="15" t="s">
        <v>2799</v>
      </c>
      <c r="E186" s="1" t="s">
        <v>586</v>
      </c>
      <c r="F186" s="15" t="s">
        <v>2800</v>
      </c>
      <c r="G186" s="1" t="s">
        <v>2801</v>
      </c>
      <c r="H186" s="1" t="s">
        <v>44</v>
      </c>
      <c r="I186" s="1" t="s">
        <v>1186</v>
      </c>
      <c r="J186" s="84">
        <v>16.0</v>
      </c>
      <c r="K186" s="39"/>
      <c r="L186" s="1">
        <v>10.0</v>
      </c>
      <c r="M186" s="1" t="s">
        <v>2791</v>
      </c>
      <c r="N186" s="1" t="s">
        <v>1227</v>
      </c>
      <c r="O186" s="1" t="s">
        <v>2802</v>
      </c>
      <c r="P186" s="1" t="s">
        <v>2793</v>
      </c>
      <c r="Q186" s="1" t="s">
        <v>39</v>
      </c>
      <c r="R186" s="1" t="s">
        <v>1186</v>
      </c>
    </row>
    <row r="187">
      <c r="A187" s="1" t="s">
        <v>1181</v>
      </c>
      <c r="C187" s="1" t="s">
        <v>2346</v>
      </c>
      <c r="D187" s="15" t="s">
        <v>1201</v>
      </c>
      <c r="E187" s="1" t="s">
        <v>1205</v>
      </c>
      <c r="F187" s="15" t="s">
        <v>1206</v>
      </c>
      <c r="G187" s="1" t="s">
        <v>2789</v>
      </c>
      <c r="H187" s="1" t="s">
        <v>39</v>
      </c>
      <c r="I187" s="1" t="s">
        <v>1186</v>
      </c>
      <c r="J187" s="111">
        <v>17.0</v>
      </c>
      <c r="K187" s="39"/>
      <c r="L187" s="1">
        <v>11.0</v>
      </c>
      <c r="M187" s="1" t="s">
        <v>1232</v>
      </c>
      <c r="N187" s="1" t="s">
        <v>1233</v>
      </c>
      <c r="O187" s="1" t="s">
        <v>1234</v>
      </c>
      <c r="P187" s="1" t="s">
        <v>1235</v>
      </c>
      <c r="Q187" s="1" t="s">
        <v>39</v>
      </c>
      <c r="R187" s="1" t="s">
        <v>1186</v>
      </c>
    </row>
    <row r="188">
      <c r="A188" s="1" t="s">
        <v>1181</v>
      </c>
      <c r="C188" s="1" t="s">
        <v>2346</v>
      </c>
      <c r="D188" s="15" t="s">
        <v>1209</v>
      </c>
      <c r="E188" s="1" t="s">
        <v>1205</v>
      </c>
      <c r="F188" s="15" t="s">
        <v>2803</v>
      </c>
      <c r="G188" s="1" t="s">
        <v>2790</v>
      </c>
      <c r="H188" s="1" t="s">
        <v>39</v>
      </c>
      <c r="I188" s="1" t="s">
        <v>1186</v>
      </c>
      <c r="J188" s="109">
        <v>18.0</v>
      </c>
      <c r="K188" s="39"/>
      <c r="L188" s="1">
        <v>12.0</v>
      </c>
      <c r="M188" s="1" t="s">
        <v>1236</v>
      </c>
      <c r="N188" s="1" t="s">
        <v>1237</v>
      </c>
      <c r="O188" s="1" t="s">
        <v>1238</v>
      </c>
      <c r="P188" s="1" t="s">
        <v>1239</v>
      </c>
      <c r="Q188" s="1" t="s">
        <v>39</v>
      </c>
      <c r="R188" s="1" t="s">
        <v>1186</v>
      </c>
    </row>
    <row r="189">
      <c r="A189" s="1" t="s">
        <v>1181</v>
      </c>
      <c r="C189" s="1" t="s">
        <v>2346</v>
      </c>
      <c r="D189" s="15" t="s">
        <v>1217</v>
      </c>
      <c r="E189" s="1" t="s">
        <v>698</v>
      </c>
      <c r="F189" s="15" t="s">
        <v>2804</v>
      </c>
      <c r="G189" s="1" t="s">
        <v>2805</v>
      </c>
      <c r="H189" s="1" t="s">
        <v>54</v>
      </c>
      <c r="I189" s="1" t="s">
        <v>1186</v>
      </c>
      <c r="J189" s="73">
        <v>19.0</v>
      </c>
      <c r="K189" s="39"/>
    </row>
    <row r="190">
      <c r="A190" s="1" t="s">
        <v>1181</v>
      </c>
      <c r="C190" s="1" t="s">
        <v>2346</v>
      </c>
      <c r="D190" s="15" t="s">
        <v>1217</v>
      </c>
      <c r="E190" s="1" t="s">
        <v>698</v>
      </c>
      <c r="F190" s="15" t="s">
        <v>1218</v>
      </c>
      <c r="G190" s="1" t="s">
        <v>1219</v>
      </c>
      <c r="H190" s="1" t="s">
        <v>54</v>
      </c>
      <c r="I190" s="1" t="s">
        <v>1186</v>
      </c>
      <c r="J190" s="86">
        <v>20.0</v>
      </c>
      <c r="K190" s="39"/>
    </row>
    <row r="191">
      <c r="A191" s="1" t="s">
        <v>1181</v>
      </c>
      <c r="C191" s="1" t="s">
        <v>2346</v>
      </c>
      <c r="D191" s="15" t="s">
        <v>1217</v>
      </c>
      <c r="E191" s="1" t="s">
        <v>698</v>
      </c>
      <c r="F191" s="15" t="s">
        <v>1220</v>
      </c>
      <c r="G191" s="1" t="s">
        <v>1221</v>
      </c>
      <c r="H191" s="1" t="s">
        <v>54</v>
      </c>
      <c r="I191" s="1" t="s">
        <v>1186</v>
      </c>
      <c r="J191" s="90">
        <v>21.0</v>
      </c>
      <c r="K191" s="39"/>
    </row>
    <row r="192">
      <c r="A192" s="1" t="s">
        <v>1181</v>
      </c>
      <c r="C192" s="1" t="s">
        <v>2346</v>
      </c>
      <c r="D192" s="15" t="s">
        <v>1217</v>
      </c>
      <c r="E192" s="1" t="s">
        <v>698</v>
      </c>
      <c r="F192" s="15" t="s">
        <v>1222</v>
      </c>
      <c r="G192" s="1" t="s">
        <v>1223</v>
      </c>
      <c r="H192" s="1" t="s">
        <v>54</v>
      </c>
      <c r="I192" s="1" t="s">
        <v>1186</v>
      </c>
      <c r="J192" s="84">
        <v>22.0</v>
      </c>
      <c r="K192" s="39"/>
    </row>
    <row r="193">
      <c r="A193" s="1" t="s">
        <v>1181</v>
      </c>
      <c r="C193" s="1" t="s">
        <v>2346</v>
      </c>
      <c r="D193" s="15" t="s">
        <v>1224</v>
      </c>
      <c r="E193" s="1" t="s">
        <v>1205</v>
      </c>
      <c r="F193" s="15" t="s">
        <v>2562</v>
      </c>
      <c r="G193" s="1" t="s">
        <v>716</v>
      </c>
      <c r="H193" s="1" t="s">
        <v>39</v>
      </c>
      <c r="I193" s="1" t="s">
        <v>1186</v>
      </c>
      <c r="J193" s="85">
        <v>23.0</v>
      </c>
      <c r="K193" s="39"/>
    </row>
    <row r="194">
      <c r="A194" s="1" t="s">
        <v>1181</v>
      </c>
      <c r="C194" s="92" t="s">
        <v>2346</v>
      </c>
      <c r="D194" s="112" t="s">
        <v>1224</v>
      </c>
      <c r="E194" s="92" t="s">
        <v>1205</v>
      </c>
      <c r="F194" s="112" t="s">
        <v>2562</v>
      </c>
      <c r="G194" s="92" t="s">
        <v>716</v>
      </c>
      <c r="H194" s="92" t="s">
        <v>39</v>
      </c>
      <c r="I194" s="92" t="s">
        <v>1186</v>
      </c>
      <c r="J194" s="92">
        <v>24.0</v>
      </c>
      <c r="K194" s="39"/>
    </row>
    <row r="195">
      <c r="A195" s="69"/>
      <c r="B195" s="67"/>
      <c r="C195" s="67"/>
      <c r="D195" s="96"/>
      <c r="E195" s="67"/>
      <c r="F195" s="96"/>
      <c r="G195" s="67"/>
      <c r="H195" s="67"/>
      <c r="I195" s="67"/>
      <c r="J195" s="67"/>
      <c r="K195" s="67"/>
      <c r="L195" s="67"/>
      <c r="M195" s="67"/>
      <c r="N195" s="67"/>
      <c r="O195" s="67"/>
      <c r="P195" s="67"/>
      <c r="Q195" s="67"/>
      <c r="R195" s="67"/>
      <c r="S195" s="67"/>
      <c r="T195" s="67"/>
      <c r="U195" s="67"/>
      <c r="V195" s="67"/>
      <c r="W195" s="67"/>
      <c r="X195" s="67"/>
      <c r="Y195" s="67"/>
      <c r="Z195" s="67"/>
      <c r="AA195" s="67"/>
      <c r="AB195" s="67"/>
      <c r="AC195" s="67"/>
      <c r="AD195" s="67"/>
      <c r="AE195" s="67"/>
    </row>
    <row r="196">
      <c r="A196" s="1" t="s">
        <v>1240</v>
      </c>
      <c r="C196" s="1" t="s">
        <v>2572</v>
      </c>
      <c r="D196" s="15" t="s">
        <v>1242</v>
      </c>
      <c r="E196" s="1" t="s">
        <v>1254</v>
      </c>
      <c r="F196" s="15" t="s">
        <v>2806</v>
      </c>
      <c r="G196" s="1" t="s">
        <v>2807</v>
      </c>
      <c r="H196" s="1" t="s">
        <v>54</v>
      </c>
      <c r="I196" s="1" t="s">
        <v>1246</v>
      </c>
      <c r="J196" s="87">
        <v>1.0</v>
      </c>
      <c r="K196" s="39"/>
      <c r="L196" s="1" t="s">
        <v>1241</v>
      </c>
      <c r="M196" s="1" t="s">
        <v>1242</v>
      </c>
      <c r="N196" s="1" t="s">
        <v>1243</v>
      </c>
      <c r="O196" s="1" t="s">
        <v>1244</v>
      </c>
      <c r="P196" s="1" t="s">
        <v>1245</v>
      </c>
      <c r="Q196" s="1" t="s">
        <v>14</v>
      </c>
      <c r="R196" s="1" t="s">
        <v>1246</v>
      </c>
    </row>
    <row r="197">
      <c r="A197" s="1" t="s">
        <v>1240</v>
      </c>
      <c r="C197" s="1" t="s">
        <v>2572</v>
      </c>
      <c r="D197" s="15" t="s">
        <v>1248</v>
      </c>
      <c r="E197" s="1" t="s">
        <v>2808</v>
      </c>
      <c r="F197" s="15" t="s">
        <v>2809</v>
      </c>
      <c r="G197" s="1" t="s">
        <v>2810</v>
      </c>
      <c r="H197" s="1" t="s">
        <v>54</v>
      </c>
      <c r="I197" s="1" t="s">
        <v>1246</v>
      </c>
      <c r="J197" s="80">
        <v>2.0</v>
      </c>
      <c r="K197" s="39"/>
      <c r="L197" s="1" t="s">
        <v>1247</v>
      </c>
      <c r="M197" s="1" t="s">
        <v>1248</v>
      </c>
      <c r="N197" s="1" t="s">
        <v>1249</v>
      </c>
      <c r="O197" s="1" t="s">
        <v>1250</v>
      </c>
      <c r="P197" s="1" t="s">
        <v>1251</v>
      </c>
      <c r="Q197" s="1" t="s">
        <v>54</v>
      </c>
      <c r="R197" s="1" t="s">
        <v>1246</v>
      </c>
    </row>
    <row r="198">
      <c r="A198" s="1" t="s">
        <v>1240</v>
      </c>
      <c r="C198" s="1" t="s">
        <v>2572</v>
      </c>
      <c r="D198" s="15" t="s">
        <v>1253</v>
      </c>
      <c r="E198" s="1" t="s">
        <v>1254</v>
      </c>
      <c r="F198" s="15" t="s">
        <v>1255</v>
      </c>
      <c r="H198" s="1" t="s">
        <v>20</v>
      </c>
      <c r="I198" s="1" t="s">
        <v>1246</v>
      </c>
      <c r="J198" s="103">
        <v>3.0</v>
      </c>
      <c r="K198" s="39"/>
      <c r="L198" s="1">
        <v>11.0</v>
      </c>
      <c r="M198" s="1" t="s">
        <v>1248</v>
      </c>
      <c r="O198" s="1" t="s">
        <v>1252</v>
      </c>
      <c r="Q198" s="1" t="s">
        <v>54</v>
      </c>
      <c r="R198" s="1" t="s">
        <v>1246</v>
      </c>
    </row>
    <row r="199">
      <c r="A199" s="1" t="s">
        <v>1240</v>
      </c>
      <c r="C199" s="1" t="s">
        <v>2572</v>
      </c>
      <c r="D199" s="15" t="s">
        <v>1253</v>
      </c>
      <c r="E199" s="1" t="s">
        <v>1254</v>
      </c>
      <c r="F199" s="15" t="s">
        <v>1256</v>
      </c>
      <c r="G199" s="1" t="s">
        <v>1257</v>
      </c>
      <c r="H199" s="1" t="s">
        <v>54</v>
      </c>
      <c r="I199" s="1" t="s">
        <v>1246</v>
      </c>
      <c r="J199" s="73">
        <v>4.0</v>
      </c>
      <c r="K199" s="39"/>
      <c r="L199" s="1">
        <v>3.0</v>
      </c>
      <c r="M199" s="1" t="s">
        <v>1253</v>
      </c>
      <c r="N199" s="1" t="s">
        <v>1254</v>
      </c>
      <c r="O199" s="1" t="s">
        <v>1255</v>
      </c>
      <c r="Q199" s="1" t="s">
        <v>20</v>
      </c>
      <c r="R199" s="1" t="s">
        <v>1246</v>
      </c>
    </row>
    <row r="200">
      <c r="A200" s="1" t="s">
        <v>1240</v>
      </c>
      <c r="C200" s="1" t="s">
        <v>2572</v>
      </c>
      <c r="D200" s="15" t="s">
        <v>1258</v>
      </c>
      <c r="E200" s="1" t="s">
        <v>503</v>
      </c>
      <c r="F200" s="15" t="s">
        <v>1260</v>
      </c>
      <c r="H200" s="1" t="s">
        <v>54</v>
      </c>
      <c r="I200" s="1" t="s">
        <v>1246</v>
      </c>
      <c r="J200" s="83">
        <v>5.0</v>
      </c>
      <c r="K200" s="39"/>
      <c r="L200" s="1">
        <v>4.0</v>
      </c>
      <c r="M200" s="1" t="s">
        <v>1253</v>
      </c>
      <c r="N200" s="1" t="s">
        <v>1254</v>
      </c>
      <c r="O200" s="1" t="s">
        <v>1256</v>
      </c>
      <c r="P200" s="1" t="s">
        <v>1257</v>
      </c>
      <c r="Q200" s="1" t="s">
        <v>54</v>
      </c>
      <c r="R200" s="1" t="s">
        <v>1246</v>
      </c>
    </row>
    <row r="201">
      <c r="A201" s="1" t="s">
        <v>1240</v>
      </c>
      <c r="C201" s="1" t="s">
        <v>2572</v>
      </c>
      <c r="D201" s="15" t="s">
        <v>1263</v>
      </c>
      <c r="E201" s="1" t="s">
        <v>503</v>
      </c>
      <c r="F201" s="15" t="s">
        <v>2811</v>
      </c>
      <c r="G201" s="1" t="s">
        <v>2624</v>
      </c>
      <c r="H201" s="1" t="s">
        <v>39</v>
      </c>
      <c r="I201" s="1" t="s">
        <v>1246</v>
      </c>
      <c r="J201" s="113">
        <v>6.0</v>
      </c>
      <c r="K201" s="39"/>
      <c r="L201" s="1">
        <v>5.0</v>
      </c>
      <c r="M201" s="1" t="s">
        <v>1258</v>
      </c>
      <c r="N201" s="1" t="s">
        <v>503</v>
      </c>
      <c r="O201" s="1" t="s">
        <v>1260</v>
      </c>
      <c r="Q201" s="1" t="s">
        <v>54</v>
      </c>
      <c r="R201" s="1" t="s">
        <v>1246</v>
      </c>
    </row>
    <row r="202">
      <c r="A202" s="1" t="s">
        <v>1240</v>
      </c>
      <c r="C202" s="1" t="s">
        <v>2572</v>
      </c>
      <c r="D202" s="15" t="s">
        <v>1269</v>
      </c>
      <c r="E202" s="1" t="s">
        <v>1270</v>
      </c>
      <c r="F202" s="15" t="s">
        <v>1271</v>
      </c>
      <c r="H202" s="1" t="s">
        <v>39</v>
      </c>
      <c r="I202" s="1" t="s">
        <v>1246</v>
      </c>
      <c r="J202" s="91">
        <v>7.0</v>
      </c>
      <c r="K202" s="39"/>
      <c r="L202" s="1">
        <v>12.0</v>
      </c>
      <c r="M202" s="1" t="s">
        <v>1261</v>
      </c>
      <c r="O202" s="1" t="s">
        <v>1262</v>
      </c>
      <c r="P202" s="1" t="s">
        <v>1103</v>
      </c>
      <c r="Q202" s="1" t="s">
        <v>54</v>
      </c>
      <c r="R202" s="1" t="s">
        <v>1246</v>
      </c>
    </row>
    <row r="203">
      <c r="A203" s="1" t="s">
        <v>1240</v>
      </c>
      <c r="C203" s="1" t="s">
        <v>2572</v>
      </c>
      <c r="D203" s="15" t="s">
        <v>1273</v>
      </c>
      <c r="E203" s="1" t="s">
        <v>1026</v>
      </c>
      <c r="F203" s="15" t="s">
        <v>1275</v>
      </c>
      <c r="H203" s="1" t="s">
        <v>39</v>
      </c>
      <c r="I203" s="1" t="s">
        <v>1246</v>
      </c>
      <c r="J203" s="74">
        <v>8.0</v>
      </c>
      <c r="K203" s="39"/>
      <c r="L203" s="1">
        <v>13.0</v>
      </c>
      <c r="M203" s="1" t="s">
        <v>1263</v>
      </c>
      <c r="N203" s="1" t="s">
        <v>698</v>
      </c>
      <c r="O203" s="1" t="s">
        <v>1264</v>
      </c>
      <c r="P203" s="1" t="s">
        <v>2812</v>
      </c>
      <c r="Q203" s="1" t="s">
        <v>14</v>
      </c>
      <c r="R203" s="1" t="s">
        <v>1246</v>
      </c>
    </row>
    <row r="204">
      <c r="A204" s="1" t="s">
        <v>1240</v>
      </c>
      <c r="C204" s="1" t="s">
        <v>2346</v>
      </c>
      <c r="D204" s="15" t="s">
        <v>1242</v>
      </c>
      <c r="E204" s="1" t="s">
        <v>1086</v>
      </c>
      <c r="F204" s="15" t="s">
        <v>1244</v>
      </c>
      <c r="G204" s="1" t="s">
        <v>2813</v>
      </c>
      <c r="H204" s="1" t="s">
        <v>14</v>
      </c>
      <c r="I204" s="1" t="s">
        <v>1246</v>
      </c>
      <c r="J204" s="87">
        <v>9.0</v>
      </c>
      <c r="K204" s="39"/>
      <c r="L204" s="1" t="s">
        <v>1266</v>
      </c>
      <c r="M204" s="1" t="s">
        <v>1263</v>
      </c>
      <c r="N204" s="1" t="s">
        <v>698</v>
      </c>
      <c r="O204" s="51" t="s">
        <v>2814</v>
      </c>
      <c r="P204" s="1" t="s">
        <v>1268</v>
      </c>
      <c r="Q204" s="1" t="s">
        <v>39</v>
      </c>
      <c r="R204" s="1" t="s">
        <v>1246</v>
      </c>
    </row>
    <row r="205">
      <c r="A205" s="1" t="s">
        <v>1240</v>
      </c>
      <c r="C205" s="1" t="s">
        <v>2346</v>
      </c>
      <c r="D205" s="15" t="s">
        <v>1248</v>
      </c>
      <c r="E205" s="1" t="s">
        <v>2815</v>
      </c>
      <c r="F205" s="15" t="s">
        <v>1250</v>
      </c>
      <c r="G205" s="1" t="s">
        <v>1251</v>
      </c>
      <c r="H205" s="1" t="s">
        <v>54</v>
      </c>
      <c r="I205" s="1" t="s">
        <v>1246</v>
      </c>
      <c r="J205" s="80">
        <v>10.0</v>
      </c>
      <c r="K205" s="39"/>
      <c r="L205" s="1">
        <v>7.0</v>
      </c>
      <c r="M205" s="1" t="s">
        <v>1269</v>
      </c>
      <c r="N205" s="1" t="s">
        <v>1270</v>
      </c>
      <c r="O205" s="1" t="s">
        <v>1271</v>
      </c>
      <c r="Q205" s="1" t="s">
        <v>39</v>
      </c>
      <c r="R205" s="1" t="s">
        <v>1246</v>
      </c>
    </row>
    <row r="206">
      <c r="A206" s="1" t="s">
        <v>1240</v>
      </c>
      <c r="C206" s="1" t="s">
        <v>2346</v>
      </c>
      <c r="D206" s="15" t="s">
        <v>1248</v>
      </c>
      <c r="F206" s="15" t="s">
        <v>1252</v>
      </c>
      <c r="H206" s="1" t="s">
        <v>54</v>
      </c>
      <c r="I206" s="1" t="s">
        <v>1246</v>
      </c>
      <c r="J206" s="81">
        <v>11.0</v>
      </c>
      <c r="K206" s="39"/>
      <c r="L206" s="1" t="s">
        <v>1272</v>
      </c>
      <c r="M206" s="1" t="s">
        <v>1273</v>
      </c>
      <c r="N206" s="1" t="s">
        <v>1026</v>
      </c>
      <c r="O206" s="1" t="s">
        <v>1275</v>
      </c>
      <c r="Q206" s="1" t="s">
        <v>39</v>
      </c>
      <c r="R206" s="1" t="s">
        <v>1246</v>
      </c>
    </row>
    <row r="207">
      <c r="A207" s="1" t="s">
        <v>1240</v>
      </c>
      <c r="C207" s="1" t="s">
        <v>2346</v>
      </c>
      <c r="D207" s="15" t="s">
        <v>1261</v>
      </c>
      <c r="F207" s="15" t="s">
        <v>1262</v>
      </c>
      <c r="G207" s="1" t="s">
        <v>1103</v>
      </c>
      <c r="H207" s="1" t="s">
        <v>54</v>
      </c>
      <c r="I207" s="1" t="s">
        <v>1246</v>
      </c>
      <c r="J207" s="86">
        <v>12.0</v>
      </c>
      <c r="K207" s="39"/>
      <c r="L207" s="1">
        <v>19.0</v>
      </c>
      <c r="M207" s="1" t="s">
        <v>1276</v>
      </c>
      <c r="N207" s="1" t="s">
        <v>2816</v>
      </c>
      <c r="O207" s="1" t="s">
        <v>1278</v>
      </c>
      <c r="P207" s="1" t="s">
        <v>1279</v>
      </c>
      <c r="Q207" s="1" t="s">
        <v>39</v>
      </c>
      <c r="R207" s="1" t="s">
        <v>1246</v>
      </c>
    </row>
    <row r="208">
      <c r="A208" s="1" t="s">
        <v>1240</v>
      </c>
      <c r="C208" s="1" t="s">
        <v>2346</v>
      </c>
      <c r="D208" s="15" t="s">
        <v>1263</v>
      </c>
      <c r="E208" s="1" t="s">
        <v>698</v>
      </c>
      <c r="F208" s="15" t="s">
        <v>1264</v>
      </c>
      <c r="G208" s="1" t="s">
        <v>2812</v>
      </c>
      <c r="H208" s="1" t="s">
        <v>14</v>
      </c>
      <c r="I208" s="1" t="s">
        <v>1246</v>
      </c>
      <c r="J208" s="78">
        <v>13.0</v>
      </c>
      <c r="K208" s="39"/>
      <c r="L208" s="1">
        <v>20.0</v>
      </c>
      <c r="M208" s="1" t="s">
        <v>1280</v>
      </c>
      <c r="O208" s="1" t="s">
        <v>1281</v>
      </c>
      <c r="P208" s="1" t="s">
        <v>1282</v>
      </c>
      <c r="Q208" s="1" t="s">
        <v>39</v>
      </c>
      <c r="R208" s="1" t="s">
        <v>1246</v>
      </c>
    </row>
    <row r="209">
      <c r="A209" s="1" t="s">
        <v>1240</v>
      </c>
      <c r="C209" s="1" t="s">
        <v>2346</v>
      </c>
      <c r="D209" s="15" t="s">
        <v>1263</v>
      </c>
      <c r="E209" s="1" t="s">
        <v>698</v>
      </c>
      <c r="F209" s="15" t="s">
        <v>2814</v>
      </c>
      <c r="G209" s="1" t="s">
        <v>1268</v>
      </c>
      <c r="H209" s="1" t="s">
        <v>39</v>
      </c>
      <c r="I209" s="1" t="s">
        <v>1246</v>
      </c>
      <c r="J209" s="113">
        <v>14.0</v>
      </c>
      <c r="K209" s="39"/>
      <c r="L209" s="1">
        <v>21.0</v>
      </c>
      <c r="M209" s="1" t="s">
        <v>1283</v>
      </c>
      <c r="N209" s="1" t="s">
        <v>1284</v>
      </c>
      <c r="O209" s="1" t="s">
        <v>1285</v>
      </c>
      <c r="P209" s="1" t="s">
        <v>1286</v>
      </c>
      <c r="Q209" s="1" t="s">
        <v>39</v>
      </c>
      <c r="R209" s="1" t="s">
        <v>1246</v>
      </c>
    </row>
    <row r="210">
      <c r="A210" s="1" t="s">
        <v>1240</v>
      </c>
      <c r="C210" s="1" t="s">
        <v>2346</v>
      </c>
      <c r="D210" s="15" t="s">
        <v>1273</v>
      </c>
      <c r="E210" s="1" t="s">
        <v>2816</v>
      </c>
      <c r="F210" s="15" t="s">
        <v>2817</v>
      </c>
      <c r="G210" s="1" t="s">
        <v>716</v>
      </c>
      <c r="H210" s="1" t="s">
        <v>39</v>
      </c>
      <c r="I210" s="1" t="s">
        <v>1246</v>
      </c>
      <c r="J210" s="74">
        <v>15.0</v>
      </c>
      <c r="K210" s="39"/>
    </row>
    <row r="211">
      <c r="A211" s="1" t="s">
        <v>1240</v>
      </c>
      <c r="C211" s="1" t="s">
        <v>2346</v>
      </c>
      <c r="D211" s="15" t="s">
        <v>1273</v>
      </c>
      <c r="E211" s="1" t="s">
        <v>2816</v>
      </c>
      <c r="F211" s="15" t="s">
        <v>2562</v>
      </c>
      <c r="G211" s="1" t="s">
        <v>716</v>
      </c>
      <c r="H211" s="1" t="s">
        <v>39</v>
      </c>
      <c r="I211" s="1" t="s">
        <v>1246</v>
      </c>
      <c r="J211" s="74">
        <v>16.0</v>
      </c>
      <c r="K211" s="39"/>
    </row>
    <row r="212">
      <c r="A212" s="1" t="s">
        <v>1240</v>
      </c>
      <c r="C212" s="1" t="s">
        <v>2346</v>
      </c>
      <c r="D212" s="15" t="s">
        <v>1273</v>
      </c>
      <c r="E212" s="1" t="s">
        <v>2816</v>
      </c>
      <c r="F212" s="15" t="s">
        <v>2561</v>
      </c>
      <c r="G212" s="1" t="s">
        <v>716</v>
      </c>
      <c r="H212" s="1" t="s">
        <v>39</v>
      </c>
      <c r="I212" s="1" t="s">
        <v>1246</v>
      </c>
      <c r="J212" s="74">
        <v>17.0</v>
      </c>
      <c r="K212" s="39"/>
    </row>
    <row r="213">
      <c r="A213" s="1" t="s">
        <v>1240</v>
      </c>
      <c r="C213" s="1" t="s">
        <v>2346</v>
      </c>
      <c r="D213" s="15" t="s">
        <v>1273</v>
      </c>
      <c r="E213" s="1" t="s">
        <v>2816</v>
      </c>
      <c r="F213" s="15" t="s">
        <v>2818</v>
      </c>
      <c r="G213" s="1" t="s">
        <v>716</v>
      </c>
      <c r="H213" s="1" t="s">
        <v>39</v>
      </c>
      <c r="I213" s="1" t="s">
        <v>1246</v>
      </c>
      <c r="J213" s="74">
        <v>18.0</v>
      </c>
      <c r="K213" s="39"/>
    </row>
    <row r="214">
      <c r="A214" s="1" t="s">
        <v>1240</v>
      </c>
      <c r="C214" s="1" t="s">
        <v>2346</v>
      </c>
      <c r="D214" s="15" t="s">
        <v>1276</v>
      </c>
      <c r="E214" s="1" t="s">
        <v>2816</v>
      </c>
      <c r="F214" s="15" t="s">
        <v>1278</v>
      </c>
      <c r="G214" s="1" t="s">
        <v>1279</v>
      </c>
      <c r="H214" s="1" t="s">
        <v>39</v>
      </c>
      <c r="I214" s="1" t="s">
        <v>1246</v>
      </c>
      <c r="J214" s="93">
        <v>19.0</v>
      </c>
      <c r="K214" s="39"/>
    </row>
    <row r="215">
      <c r="A215" s="1" t="s">
        <v>1240</v>
      </c>
      <c r="C215" s="1" t="s">
        <v>2346</v>
      </c>
      <c r="D215" s="15" t="s">
        <v>1280</v>
      </c>
      <c r="F215" s="15" t="s">
        <v>1281</v>
      </c>
      <c r="G215" s="1" t="s">
        <v>1282</v>
      </c>
      <c r="H215" s="1" t="s">
        <v>39</v>
      </c>
      <c r="I215" s="1" t="s">
        <v>1246</v>
      </c>
      <c r="J215" s="83">
        <v>20.0</v>
      </c>
      <c r="K215" s="39"/>
    </row>
    <row r="216">
      <c r="A216" s="1" t="s">
        <v>1240</v>
      </c>
      <c r="C216" s="1" t="s">
        <v>2346</v>
      </c>
      <c r="D216" s="15" t="s">
        <v>1283</v>
      </c>
      <c r="E216" s="1" t="s">
        <v>1284</v>
      </c>
      <c r="F216" s="15" t="s">
        <v>1285</v>
      </c>
      <c r="G216" s="1" t="s">
        <v>1286</v>
      </c>
      <c r="H216" s="1" t="s">
        <v>39</v>
      </c>
      <c r="I216" s="1" t="s">
        <v>1246</v>
      </c>
      <c r="J216" s="78">
        <v>21.0</v>
      </c>
      <c r="K216" s="39"/>
    </row>
    <row r="217">
      <c r="A217" s="69"/>
      <c r="B217" s="67"/>
      <c r="C217" s="67"/>
      <c r="D217" s="96"/>
      <c r="E217" s="67"/>
      <c r="F217" s="96"/>
      <c r="G217" s="67"/>
      <c r="H217" s="67"/>
      <c r="I217" s="67"/>
      <c r="J217" s="67"/>
      <c r="K217" s="67"/>
      <c r="L217" s="67"/>
      <c r="M217" s="67"/>
      <c r="N217" s="67"/>
      <c r="O217" s="67"/>
      <c r="P217" s="67"/>
      <c r="Q217" s="67"/>
      <c r="R217" s="67"/>
      <c r="S217" s="67"/>
      <c r="T217" s="67"/>
      <c r="U217" s="67"/>
      <c r="V217" s="67"/>
      <c r="W217" s="67"/>
      <c r="X217" s="67"/>
      <c r="Y217" s="67"/>
      <c r="Z217" s="67"/>
      <c r="AA217" s="67"/>
      <c r="AB217" s="67"/>
      <c r="AC217" s="67"/>
      <c r="AD217" s="67"/>
      <c r="AE217" s="67"/>
    </row>
    <row r="218">
      <c r="A218" s="1" t="s">
        <v>1287</v>
      </c>
      <c r="C218" s="1" t="s">
        <v>2572</v>
      </c>
      <c r="D218" s="112" t="s">
        <v>2674</v>
      </c>
      <c r="F218" s="10"/>
      <c r="K218" s="39"/>
    </row>
    <row r="219">
      <c r="A219" s="1" t="s">
        <v>1287</v>
      </c>
      <c r="C219" s="1" t="s">
        <v>2346</v>
      </c>
      <c r="D219" s="112" t="s">
        <v>2674</v>
      </c>
      <c r="F219" s="10"/>
      <c r="K219" s="39"/>
    </row>
    <row r="220">
      <c r="A220" s="69"/>
      <c r="B220" s="67"/>
      <c r="C220" s="67"/>
      <c r="D220" s="96"/>
      <c r="E220" s="67"/>
      <c r="F220" s="96"/>
      <c r="G220" s="67"/>
      <c r="H220" s="67"/>
      <c r="I220" s="67"/>
      <c r="J220" s="67"/>
      <c r="K220" s="67"/>
      <c r="L220" s="67"/>
      <c r="M220" s="67"/>
      <c r="N220" s="67"/>
      <c r="O220" s="67"/>
      <c r="P220" s="67"/>
      <c r="Q220" s="67"/>
      <c r="R220" s="67"/>
      <c r="S220" s="67"/>
      <c r="T220" s="67"/>
      <c r="U220" s="67"/>
      <c r="V220" s="67"/>
      <c r="W220" s="67"/>
      <c r="X220" s="67"/>
      <c r="Y220" s="67"/>
      <c r="Z220" s="67"/>
      <c r="AA220" s="67"/>
      <c r="AB220" s="67"/>
      <c r="AC220" s="67"/>
      <c r="AD220" s="67"/>
      <c r="AE220" s="67"/>
    </row>
    <row r="221">
      <c r="A221" s="1" t="s">
        <v>1288</v>
      </c>
      <c r="C221" s="1" t="s">
        <v>2572</v>
      </c>
      <c r="D221" s="15" t="s">
        <v>2674</v>
      </c>
      <c r="F221" s="10"/>
      <c r="K221" s="39"/>
    </row>
    <row r="222">
      <c r="A222" s="1" t="s">
        <v>1288</v>
      </c>
      <c r="C222" s="1" t="s">
        <v>2303</v>
      </c>
      <c r="D222" s="15" t="s">
        <v>2674</v>
      </c>
      <c r="F222" s="10"/>
      <c r="K222" s="39"/>
    </row>
    <row r="223">
      <c r="A223" s="69"/>
      <c r="B223" s="67"/>
      <c r="C223" s="67"/>
      <c r="D223" s="96"/>
      <c r="E223" s="67"/>
      <c r="F223" s="96"/>
      <c r="G223" s="67"/>
      <c r="H223" s="67"/>
      <c r="I223" s="67"/>
      <c r="J223" s="67"/>
      <c r="K223" s="67"/>
      <c r="L223" s="67"/>
      <c r="M223" s="67"/>
      <c r="N223" s="67"/>
      <c r="O223" s="67"/>
      <c r="P223" s="67"/>
      <c r="Q223" s="67"/>
      <c r="R223" s="67"/>
      <c r="S223" s="67"/>
      <c r="T223" s="67"/>
      <c r="U223" s="67"/>
      <c r="V223" s="67"/>
      <c r="W223" s="67"/>
      <c r="X223" s="67"/>
      <c r="Y223" s="67"/>
      <c r="Z223" s="67"/>
      <c r="AA223" s="67"/>
      <c r="AB223" s="67"/>
      <c r="AC223" s="67"/>
      <c r="AD223" s="67"/>
      <c r="AE223" s="67"/>
    </row>
    <row r="224">
      <c r="A224" s="1" t="s">
        <v>1289</v>
      </c>
      <c r="C224" s="1" t="s">
        <v>2572</v>
      </c>
      <c r="D224" s="15" t="s">
        <v>2674</v>
      </c>
      <c r="F224" s="10"/>
      <c r="H224" s="8"/>
      <c r="I224" s="8"/>
      <c r="K224" s="39"/>
    </row>
    <row r="225">
      <c r="A225" s="1" t="s">
        <v>1289</v>
      </c>
      <c r="C225" s="1" t="s">
        <v>2384</v>
      </c>
      <c r="D225" s="15" t="s">
        <v>2819</v>
      </c>
      <c r="F225" s="15" t="s">
        <v>1291</v>
      </c>
      <c r="G225" s="1" t="s">
        <v>585</v>
      </c>
      <c r="H225" s="1" t="s">
        <v>2388</v>
      </c>
      <c r="I225" s="1" t="s">
        <v>1292</v>
      </c>
      <c r="J225" s="1">
        <v>1.0</v>
      </c>
      <c r="K225" s="39"/>
      <c r="L225" s="1">
        <v>1.0</v>
      </c>
      <c r="M225" s="1" t="s">
        <v>1290</v>
      </c>
      <c r="O225" s="1" t="s">
        <v>1291</v>
      </c>
      <c r="P225" s="1" t="s">
        <v>585</v>
      </c>
      <c r="Q225" s="1" t="s">
        <v>2388</v>
      </c>
      <c r="R225" s="1" t="s">
        <v>1292</v>
      </c>
    </row>
    <row r="226">
      <c r="A226" s="1" t="s">
        <v>1289</v>
      </c>
      <c r="C226" s="1" t="s">
        <v>2384</v>
      </c>
      <c r="D226" s="15" t="s">
        <v>2820</v>
      </c>
      <c r="F226" s="15" t="s">
        <v>1294</v>
      </c>
      <c r="G226" s="1" t="s">
        <v>1295</v>
      </c>
      <c r="H226" s="1" t="s">
        <v>2388</v>
      </c>
      <c r="I226" s="1" t="s">
        <v>1292</v>
      </c>
      <c r="J226" s="1">
        <v>2.0</v>
      </c>
      <c r="K226" s="39"/>
      <c r="L226" s="1">
        <v>2.0</v>
      </c>
      <c r="M226" s="1" t="s">
        <v>1293</v>
      </c>
      <c r="O226" s="1" t="s">
        <v>1294</v>
      </c>
      <c r="P226" s="1" t="s">
        <v>1295</v>
      </c>
      <c r="Q226" s="1" t="s">
        <v>2388</v>
      </c>
      <c r="R226" s="1" t="s">
        <v>1292</v>
      </c>
    </row>
    <row r="227">
      <c r="A227" s="1" t="s">
        <v>1289</v>
      </c>
      <c r="C227" s="1" t="s">
        <v>2384</v>
      </c>
      <c r="D227" s="15" t="s">
        <v>2821</v>
      </c>
      <c r="F227" s="15" t="s">
        <v>2392</v>
      </c>
      <c r="G227" s="1" t="s">
        <v>364</v>
      </c>
      <c r="H227" s="1" t="s">
        <v>39</v>
      </c>
      <c r="I227" s="1" t="s">
        <v>1292</v>
      </c>
      <c r="J227" s="1">
        <v>3.0</v>
      </c>
      <c r="K227" s="39"/>
      <c r="L227" s="1">
        <v>3.0</v>
      </c>
      <c r="M227" s="1" t="s">
        <v>1296</v>
      </c>
      <c r="O227" s="1" t="s">
        <v>2392</v>
      </c>
      <c r="P227" s="1" t="s">
        <v>364</v>
      </c>
      <c r="Q227" s="1" t="s">
        <v>39</v>
      </c>
      <c r="R227" s="1" t="s">
        <v>1292</v>
      </c>
    </row>
    <row r="228">
      <c r="A228" s="1" t="s">
        <v>1289</v>
      </c>
      <c r="C228" s="1" t="s">
        <v>2384</v>
      </c>
      <c r="D228" s="15" t="s">
        <v>2822</v>
      </c>
      <c r="F228" s="15" t="s">
        <v>357</v>
      </c>
      <c r="G228" s="1" t="s">
        <v>358</v>
      </c>
      <c r="H228" s="1" t="s">
        <v>39</v>
      </c>
      <c r="I228" s="1" t="s">
        <v>1292</v>
      </c>
      <c r="J228" s="1">
        <v>4.0</v>
      </c>
      <c r="K228" s="39"/>
      <c r="L228" s="1">
        <v>4.0</v>
      </c>
      <c r="M228" s="1" t="s">
        <v>1298</v>
      </c>
      <c r="O228" s="1" t="s">
        <v>357</v>
      </c>
      <c r="P228" s="1" t="s">
        <v>358</v>
      </c>
      <c r="Q228" s="1" t="s">
        <v>39</v>
      </c>
      <c r="R228" s="1" t="s">
        <v>1292</v>
      </c>
    </row>
    <row r="229">
      <c r="A229" s="1" t="s">
        <v>1289</v>
      </c>
      <c r="C229" s="1" t="s">
        <v>2384</v>
      </c>
      <c r="D229" s="15" t="s">
        <v>2823</v>
      </c>
      <c r="F229" s="15" t="s">
        <v>934</v>
      </c>
      <c r="G229" s="1" t="s">
        <v>358</v>
      </c>
      <c r="H229" s="1" t="s">
        <v>39</v>
      </c>
      <c r="I229" s="1" t="s">
        <v>1292</v>
      </c>
      <c r="J229" s="1">
        <v>5.0</v>
      </c>
      <c r="K229" s="39"/>
      <c r="L229" s="1">
        <v>5.0</v>
      </c>
      <c r="M229" s="1" t="s">
        <v>1299</v>
      </c>
      <c r="O229" s="1" t="s">
        <v>934</v>
      </c>
      <c r="P229" s="1" t="s">
        <v>358</v>
      </c>
      <c r="Q229" s="1" t="s">
        <v>39</v>
      </c>
      <c r="R229" s="1" t="s">
        <v>1292</v>
      </c>
    </row>
    <row r="230">
      <c r="A230" s="69"/>
      <c r="B230" s="67"/>
      <c r="C230" s="67"/>
      <c r="D230" s="96"/>
      <c r="E230" s="67"/>
      <c r="F230" s="96"/>
      <c r="G230" s="67"/>
      <c r="H230" s="67"/>
      <c r="I230" s="67"/>
      <c r="J230" s="67"/>
      <c r="K230" s="67"/>
      <c r="L230" s="67"/>
      <c r="M230" s="67"/>
      <c r="N230" s="67"/>
      <c r="O230" s="67"/>
      <c r="P230" s="67"/>
      <c r="Q230" s="67"/>
      <c r="R230" s="67"/>
      <c r="S230" s="67"/>
      <c r="T230" s="67"/>
      <c r="U230" s="67"/>
      <c r="V230" s="67"/>
      <c r="W230" s="67"/>
      <c r="X230" s="67"/>
      <c r="Y230" s="67"/>
      <c r="Z230" s="67"/>
      <c r="AA230" s="67"/>
      <c r="AB230" s="67"/>
      <c r="AC230" s="67"/>
      <c r="AD230" s="67"/>
      <c r="AE230" s="67"/>
    </row>
    <row r="231">
      <c r="A231" s="1" t="s">
        <v>2203</v>
      </c>
      <c r="C231" s="1" t="s">
        <v>2572</v>
      </c>
      <c r="D231" s="15" t="s">
        <v>2824</v>
      </c>
      <c r="E231" s="1" t="s">
        <v>2825</v>
      </c>
      <c r="F231" s="15" t="s">
        <v>2826</v>
      </c>
      <c r="G231" s="1" t="s">
        <v>2827</v>
      </c>
      <c r="H231" s="1" t="s">
        <v>54</v>
      </c>
      <c r="I231" s="1" t="s">
        <v>1780</v>
      </c>
      <c r="J231" s="92">
        <v>1.0</v>
      </c>
      <c r="K231" s="39"/>
      <c r="L231" s="1" t="s">
        <v>2828</v>
      </c>
      <c r="M231" s="1" t="s">
        <v>2824</v>
      </c>
      <c r="N231" s="1" t="s">
        <v>2825</v>
      </c>
      <c r="O231" s="1" t="s">
        <v>2829</v>
      </c>
      <c r="P231" s="1" t="s">
        <v>2827</v>
      </c>
      <c r="Q231" s="1" t="s">
        <v>54</v>
      </c>
      <c r="R231" s="1" t="s">
        <v>1780</v>
      </c>
    </row>
    <row r="232">
      <c r="A232" s="1" t="s">
        <v>2203</v>
      </c>
      <c r="C232" s="1" t="s">
        <v>2572</v>
      </c>
      <c r="D232" s="15" t="s">
        <v>2830</v>
      </c>
      <c r="E232" s="1" t="s">
        <v>748</v>
      </c>
      <c r="F232" s="15" t="s">
        <v>2831</v>
      </c>
      <c r="H232" s="1" t="s">
        <v>39</v>
      </c>
      <c r="I232" s="1" t="s">
        <v>1780</v>
      </c>
      <c r="J232" s="83">
        <v>2.0</v>
      </c>
      <c r="K232" s="39"/>
      <c r="L232" s="1">
        <v>2.0</v>
      </c>
      <c r="M232" s="1" t="s">
        <v>2830</v>
      </c>
      <c r="N232" s="1" t="s">
        <v>748</v>
      </c>
      <c r="O232" s="1" t="s">
        <v>2831</v>
      </c>
      <c r="Q232" s="1" t="s">
        <v>39</v>
      </c>
      <c r="R232" s="1" t="s">
        <v>1780</v>
      </c>
    </row>
    <row r="233">
      <c r="A233" s="1" t="s">
        <v>2203</v>
      </c>
      <c r="C233" s="1" t="s">
        <v>2572</v>
      </c>
      <c r="D233" s="15" t="s">
        <v>2832</v>
      </c>
      <c r="E233" s="1" t="s">
        <v>748</v>
      </c>
      <c r="F233" s="15" t="s">
        <v>2833</v>
      </c>
      <c r="G233" s="1" t="s">
        <v>2834</v>
      </c>
      <c r="H233" s="1" t="s">
        <v>39</v>
      </c>
      <c r="I233" s="1" t="s">
        <v>1780</v>
      </c>
      <c r="J233" s="84">
        <v>3.0</v>
      </c>
      <c r="K233" s="39"/>
      <c r="L233" s="1" t="s">
        <v>2835</v>
      </c>
      <c r="M233" s="1" t="s">
        <v>2832</v>
      </c>
      <c r="N233" s="1" t="s">
        <v>2836</v>
      </c>
      <c r="O233" s="1" t="s">
        <v>2837</v>
      </c>
      <c r="P233" s="1" t="s">
        <v>434</v>
      </c>
      <c r="Q233" s="1" t="s">
        <v>39</v>
      </c>
    </row>
    <row r="234">
      <c r="A234" s="1" t="s">
        <v>2203</v>
      </c>
      <c r="C234" s="1" t="s">
        <v>2236</v>
      </c>
      <c r="D234" s="15" t="s">
        <v>2824</v>
      </c>
      <c r="E234" s="1" t="s">
        <v>2838</v>
      </c>
      <c r="F234" s="15" t="s">
        <v>2839</v>
      </c>
      <c r="G234" s="1" t="s">
        <v>2840</v>
      </c>
      <c r="H234" s="1" t="s">
        <v>54</v>
      </c>
      <c r="I234" s="1" t="s">
        <v>1780</v>
      </c>
      <c r="J234" s="92">
        <v>4.0</v>
      </c>
      <c r="K234" s="39"/>
      <c r="L234" s="1">
        <v>6.0</v>
      </c>
      <c r="M234" s="1" t="s">
        <v>2841</v>
      </c>
      <c r="O234" s="1" t="s">
        <v>2842</v>
      </c>
      <c r="P234" s="1" t="s">
        <v>434</v>
      </c>
      <c r="Q234" s="1" t="s">
        <v>39</v>
      </c>
      <c r="R234" s="1" t="s">
        <v>1780</v>
      </c>
    </row>
    <row r="235">
      <c r="A235" s="1" t="s">
        <v>2203</v>
      </c>
      <c r="C235" s="1" t="s">
        <v>2236</v>
      </c>
      <c r="D235" s="15" t="s">
        <v>2843</v>
      </c>
      <c r="E235" s="1" t="s">
        <v>2836</v>
      </c>
      <c r="F235" s="15" t="s">
        <v>2844</v>
      </c>
      <c r="G235" s="1" t="s">
        <v>434</v>
      </c>
      <c r="H235" s="1" t="s">
        <v>39</v>
      </c>
      <c r="I235" s="1" t="s">
        <v>1780</v>
      </c>
      <c r="J235" s="84">
        <v>5.0</v>
      </c>
      <c r="K235" s="39"/>
      <c r="R235" s="1" t="s">
        <v>1780</v>
      </c>
    </row>
    <row r="236">
      <c r="A236" s="1" t="s">
        <v>2203</v>
      </c>
      <c r="C236" s="1" t="s">
        <v>2236</v>
      </c>
      <c r="D236" s="15" t="s">
        <v>2841</v>
      </c>
      <c r="F236" s="15" t="s">
        <v>2842</v>
      </c>
      <c r="G236" s="1" t="s">
        <v>434</v>
      </c>
      <c r="H236" s="1" t="s">
        <v>39</v>
      </c>
      <c r="I236" s="1" t="s">
        <v>1780</v>
      </c>
      <c r="J236" s="79">
        <v>6.0</v>
      </c>
      <c r="K236" s="39"/>
    </row>
    <row r="237">
      <c r="A237" s="69"/>
      <c r="B237" s="67"/>
      <c r="C237" s="67"/>
      <c r="D237" s="96"/>
      <c r="E237" s="67"/>
      <c r="F237" s="96"/>
      <c r="G237" s="67"/>
      <c r="H237" s="67"/>
      <c r="I237" s="67"/>
      <c r="J237" s="67"/>
      <c r="K237" s="67"/>
      <c r="L237" s="67"/>
      <c r="M237" s="67"/>
      <c r="N237" s="67"/>
      <c r="O237" s="67"/>
      <c r="P237" s="67"/>
      <c r="Q237" s="67"/>
      <c r="R237" s="67"/>
      <c r="S237" s="67"/>
      <c r="T237" s="67"/>
      <c r="U237" s="67"/>
      <c r="V237" s="67"/>
      <c r="W237" s="67"/>
      <c r="X237" s="67"/>
      <c r="Y237" s="67"/>
      <c r="Z237" s="67"/>
      <c r="AA237" s="67"/>
      <c r="AB237" s="67"/>
      <c r="AC237" s="67"/>
      <c r="AD237" s="67"/>
      <c r="AE237" s="67"/>
    </row>
    <row r="238">
      <c r="A238" s="1" t="s">
        <v>1300</v>
      </c>
      <c r="C238" s="1" t="s">
        <v>2572</v>
      </c>
      <c r="D238" s="15" t="s">
        <v>2845</v>
      </c>
      <c r="E238" s="1" t="s">
        <v>2846</v>
      </c>
      <c r="F238" s="15" t="s">
        <v>2847</v>
      </c>
      <c r="G238" s="1" t="s">
        <v>2848</v>
      </c>
      <c r="H238" s="1" t="s">
        <v>44</v>
      </c>
      <c r="I238" s="1" t="s">
        <v>2849</v>
      </c>
      <c r="J238" s="80">
        <v>1.0</v>
      </c>
      <c r="K238" s="39"/>
      <c r="L238" s="1" t="s">
        <v>1241</v>
      </c>
      <c r="M238" s="55" t="s">
        <v>1301</v>
      </c>
      <c r="N238" s="1" t="s">
        <v>1302</v>
      </c>
      <c r="O238" s="1" t="s">
        <v>1303</v>
      </c>
      <c r="P238" s="1" t="s">
        <v>2850</v>
      </c>
      <c r="Q238" s="1" t="s">
        <v>44</v>
      </c>
      <c r="R238" s="1" t="s">
        <v>1305</v>
      </c>
    </row>
    <row r="239">
      <c r="A239" s="1" t="s">
        <v>1300</v>
      </c>
      <c r="C239" s="1" t="s">
        <v>2572</v>
      </c>
      <c r="D239" s="15" t="s">
        <v>2851</v>
      </c>
      <c r="E239" s="1" t="s">
        <v>2852</v>
      </c>
      <c r="F239" s="15" t="s">
        <v>2853</v>
      </c>
      <c r="H239" s="1" t="s">
        <v>14</v>
      </c>
      <c r="I239" s="1" t="s">
        <v>2849</v>
      </c>
      <c r="J239" s="92">
        <v>2.0</v>
      </c>
      <c r="K239" s="39"/>
      <c r="L239" s="1" t="s">
        <v>1247</v>
      </c>
      <c r="M239" s="55" t="s">
        <v>1306</v>
      </c>
      <c r="N239" s="1" t="s">
        <v>1302</v>
      </c>
      <c r="O239" s="1" t="s">
        <v>1307</v>
      </c>
      <c r="P239" s="1" t="s">
        <v>2854</v>
      </c>
      <c r="Q239" s="1" t="s">
        <v>20</v>
      </c>
      <c r="R239" s="1" t="s">
        <v>1305</v>
      </c>
    </row>
    <row r="240">
      <c r="A240" s="1" t="s">
        <v>1300</v>
      </c>
      <c r="C240" s="1" t="s">
        <v>2572</v>
      </c>
      <c r="D240" s="15" t="s">
        <v>2855</v>
      </c>
      <c r="E240" s="55" t="s">
        <v>1311</v>
      </c>
      <c r="F240" s="15" t="s">
        <v>2856</v>
      </c>
      <c r="G240" s="1" t="s">
        <v>1313</v>
      </c>
      <c r="H240" s="1" t="s">
        <v>20</v>
      </c>
      <c r="I240" s="1" t="s">
        <v>2849</v>
      </c>
      <c r="J240" s="79">
        <v>3.0</v>
      </c>
      <c r="K240" s="39"/>
      <c r="L240" s="1" t="s">
        <v>1309</v>
      </c>
      <c r="M240" s="1" t="s">
        <v>1310</v>
      </c>
      <c r="N240" s="55" t="s">
        <v>1311</v>
      </c>
      <c r="O240" s="1" t="s">
        <v>1312</v>
      </c>
      <c r="P240" s="1" t="s">
        <v>1313</v>
      </c>
      <c r="Q240" s="1" t="s">
        <v>20</v>
      </c>
      <c r="R240" s="1" t="s">
        <v>1305</v>
      </c>
    </row>
    <row r="241">
      <c r="A241" s="1" t="s">
        <v>1300</v>
      </c>
      <c r="C241" s="1" t="s">
        <v>2572</v>
      </c>
      <c r="D241" s="15" t="s">
        <v>2855</v>
      </c>
      <c r="E241" s="55" t="s">
        <v>1311</v>
      </c>
      <c r="F241" s="15" t="s">
        <v>1314</v>
      </c>
      <c r="G241" s="1" t="s">
        <v>1315</v>
      </c>
      <c r="H241" s="1" t="s">
        <v>20</v>
      </c>
      <c r="I241" s="1" t="s">
        <v>2849</v>
      </c>
      <c r="J241" s="83">
        <v>4.0</v>
      </c>
      <c r="K241" s="39"/>
      <c r="L241" s="1">
        <v>4.0</v>
      </c>
      <c r="M241" s="1" t="s">
        <v>1310</v>
      </c>
      <c r="N241" s="55" t="s">
        <v>1311</v>
      </c>
      <c r="O241" s="1" t="s">
        <v>1314</v>
      </c>
      <c r="P241" s="1" t="s">
        <v>1315</v>
      </c>
      <c r="Q241" s="1" t="s">
        <v>20</v>
      </c>
      <c r="R241" s="79" t="s">
        <v>1305</v>
      </c>
    </row>
    <row r="242">
      <c r="A242" s="1" t="s">
        <v>1300</v>
      </c>
      <c r="C242" s="1" t="s">
        <v>2572</v>
      </c>
      <c r="D242" s="15" t="s">
        <v>2855</v>
      </c>
      <c r="E242" s="55" t="s">
        <v>1311</v>
      </c>
      <c r="F242" s="15" t="s">
        <v>1316</v>
      </c>
      <c r="H242" s="1" t="s">
        <v>54</v>
      </c>
      <c r="I242" s="1" t="s">
        <v>2849</v>
      </c>
      <c r="J242" s="91">
        <v>5.0</v>
      </c>
      <c r="K242" s="39"/>
      <c r="L242" s="1">
        <v>5.0</v>
      </c>
      <c r="M242" s="1" t="s">
        <v>1310</v>
      </c>
      <c r="N242" s="55" t="s">
        <v>1311</v>
      </c>
      <c r="O242" s="1" t="s">
        <v>1316</v>
      </c>
      <c r="Q242" s="1" t="s">
        <v>54</v>
      </c>
      <c r="R242" s="79" t="s">
        <v>1305</v>
      </c>
    </row>
    <row r="243">
      <c r="A243" s="1" t="s">
        <v>1300</v>
      </c>
      <c r="C243" s="1" t="s">
        <v>2572</v>
      </c>
      <c r="D243" s="15" t="s">
        <v>2857</v>
      </c>
      <c r="E243" s="55" t="s">
        <v>1319</v>
      </c>
      <c r="F243" s="15" t="s">
        <v>1320</v>
      </c>
      <c r="H243" s="1" t="s">
        <v>54</v>
      </c>
      <c r="I243" s="1" t="s">
        <v>2849</v>
      </c>
      <c r="J243" s="84">
        <v>6.0</v>
      </c>
      <c r="K243" s="39"/>
      <c r="L243" s="1" t="s">
        <v>1131</v>
      </c>
      <c r="M243" s="1" t="s">
        <v>1318</v>
      </c>
      <c r="N243" s="55" t="s">
        <v>1319</v>
      </c>
      <c r="O243" s="1" t="s">
        <v>1320</v>
      </c>
      <c r="Q243" s="1" t="s">
        <v>54</v>
      </c>
      <c r="R243" s="1" t="s">
        <v>1305</v>
      </c>
    </row>
    <row r="244">
      <c r="A244" s="1" t="s">
        <v>1300</v>
      </c>
      <c r="C244" s="1" t="s">
        <v>2572</v>
      </c>
      <c r="D244" s="15" t="s">
        <v>2857</v>
      </c>
      <c r="E244" s="55" t="s">
        <v>1319</v>
      </c>
      <c r="F244" s="15" t="s">
        <v>1321</v>
      </c>
      <c r="G244" s="1" t="s">
        <v>1322</v>
      </c>
      <c r="H244" s="1" t="s">
        <v>54</v>
      </c>
      <c r="I244" s="1" t="s">
        <v>2849</v>
      </c>
      <c r="J244" s="78">
        <v>7.0</v>
      </c>
      <c r="K244" s="39"/>
      <c r="L244" s="1">
        <v>7.0</v>
      </c>
      <c r="M244" s="1" t="s">
        <v>1318</v>
      </c>
      <c r="N244" s="55" t="s">
        <v>1319</v>
      </c>
      <c r="O244" s="1" t="s">
        <v>1321</v>
      </c>
      <c r="P244" s="1" t="s">
        <v>1322</v>
      </c>
      <c r="Q244" s="1" t="s">
        <v>54</v>
      </c>
      <c r="R244" s="79" t="s">
        <v>1305</v>
      </c>
    </row>
    <row r="245">
      <c r="A245" s="1" t="s">
        <v>1300</v>
      </c>
      <c r="C245" s="1" t="s">
        <v>2572</v>
      </c>
      <c r="D245" s="15" t="s">
        <v>2858</v>
      </c>
      <c r="E245" s="55" t="s">
        <v>1324</v>
      </c>
      <c r="F245" s="15" t="s">
        <v>1325</v>
      </c>
      <c r="G245" s="1" t="s">
        <v>1326</v>
      </c>
      <c r="H245" s="1" t="s">
        <v>39</v>
      </c>
      <c r="I245" s="1" t="s">
        <v>2849</v>
      </c>
      <c r="J245" s="93">
        <v>8.0</v>
      </c>
      <c r="K245" s="39"/>
      <c r="L245" s="1">
        <v>8.0</v>
      </c>
      <c r="M245" s="1" t="s">
        <v>1323</v>
      </c>
      <c r="N245" s="55" t="s">
        <v>1324</v>
      </c>
      <c r="O245" s="1" t="s">
        <v>1325</v>
      </c>
      <c r="P245" s="1" t="s">
        <v>1326</v>
      </c>
      <c r="Q245" s="1" t="s">
        <v>39</v>
      </c>
      <c r="R245" s="79" t="s">
        <v>1305</v>
      </c>
    </row>
    <row r="246">
      <c r="A246" s="1" t="s">
        <v>1300</v>
      </c>
      <c r="C246" s="1" t="s">
        <v>2236</v>
      </c>
      <c r="D246" s="114" t="s">
        <v>1301</v>
      </c>
      <c r="E246" s="1" t="s">
        <v>1302</v>
      </c>
      <c r="F246" s="15" t="s">
        <v>1303</v>
      </c>
      <c r="G246" s="1" t="s">
        <v>2850</v>
      </c>
      <c r="H246" s="1" t="s">
        <v>44</v>
      </c>
      <c r="I246" s="1" t="s">
        <v>1305</v>
      </c>
      <c r="J246" s="80">
        <v>9.0</v>
      </c>
      <c r="K246" s="39"/>
    </row>
    <row r="247">
      <c r="A247" s="1" t="s">
        <v>1300</v>
      </c>
      <c r="C247" s="1" t="s">
        <v>2236</v>
      </c>
      <c r="D247" s="114" t="s">
        <v>1306</v>
      </c>
      <c r="E247" s="1" t="s">
        <v>1302</v>
      </c>
      <c r="F247" s="15" t="s">
        <v>1307</v>
      </c>
      <c r="G247" s="1" t="s">
        <v>2854</v>
      </c>
      <c r="H247" s="1" t="s">
        <v>20</v>
      </c>
      <c r="I247" s="1" t="s">
        <v>1305</v>
      </c>
      <c r="J247" s="92">
        <v>10.0</v>
      </c>
      <c r="K247" s="39"/>
    </row>
    <row r="248">
      <c r="A248" s="1" t="s">
        <v>1300</v>
      </c>
      <c r="C248" s="1" t="s">
        <v>2236</v>
      </c>
      <c r="D248" s="114" t="s">
        <v>2859</v>
      </c>
      <c r="E248" s="1" t="s">
        <v>11</v>
      </c>
      <c r="F248" s="15" t="s">
        <v>2860</v>
      </c>
      <c r="G248" s="1" t="s">
        <v>2861</v>
      </c>
      <c r="H248" s="1" t="s">
        <v>20</v>
      </c>
      <c r="I248" s="1" t="s">
        <v>1305</v>
      </c>
      <c r="J248" s="79">
        <v>11.0</v>
      </c>
      <c r="K248" s="39"/>
    </row>
    <row r="249">
      <c r="A249" s="1" t="s">
        <v>1300</v>
      </c>
      <c r="C249" s="1" t="s">
        <v>2236</v>
      </c>
      <c r="D249" s="114" t="s">
        <v>2862</v>
      </c>
      <c r="E249" s="1" t="s">
        <v>2863</v>
      </c>
      <c r="F249" s="15" t="s">
        <v>2864</v>
      </c>
      <c r="G249" s="1"/>
      <c r="H249" s="1" t="s">
        <v>54</v>
      </c>
      <c r="I249" s="1" t="s">
        <v>1305</v>
      </c>
      <c r="J249" s="84">
        <v>12.0</v>
      </c>
      <c r="K249" s="39"/>
    </row>
    <row r="250">
      <c r="A250" s="69"/>
      <c r="B250" s="67"/>
      <c r="C250" s="67"/>
      <c r="D250" s="96"/>
      <c r="E250" s="67"/>
      <c r="F250" s="96"/>
      <c r="G250" s="67"/>
      <c r="H250" s="67"/>
      <c r="I250" s="67"/>
      <c r="J250" s="67"/>
      <c r="K250" s="67"/>
      <c r="L250" s="67"/>
      <c r="M250" s="67"/>
      <c r="N250" s="67"/>
      <c r="O250" s="67"/>
      <c r="P250" s="67"/>
      <c r="Q250" s="67"/>
      <c r="R250" s="67"/>
      <c r="S250" s="67"/>
      <c r="T250" s="67"/>
      <c r="U250" s="67"/>
      <c r="V250" s="67"/>
      <c r="W250" s="67"/>
      <c r="X250" s="67"/>
      <c r="Y250" s="67"/>
      <c r="Z250" s="67"/>
      <c r="AA250" s="67"/>
      <c r="AB250" s="67"/>
      <c r="AC250" s="67"/>
      <c r="AD250" s="67"/>
      <c r="AE250" s="67"/>
    </row>
    <row r="251">
      <c r="A251" s="1" t="s">
        <v>1327</v>
      </c>
      <c r="C251" s="1" t="s">
        <v>2572</v>
      </c>
      <c r="D251" s="15" t="s">
        <v>1329</v>
      </c>
      <c r="E251" s="1" t="s">
        <v>2865</v>
      </c>
      <c r="F251" s="15" t="s">
        <v>2866</v>
      </c>
      <c r="G251" s="1" t="s">
        <v>2867</v>
      </c>
      <c r="H251" s="1" t="s">
        <v>14</v>
      </c>
      <c r="I251" s="1" t="s">
        <v>1333</v>
      </c>
      <c r="J251" s="78">
        <v>1.0</v>
      </c>
      <c r="K251" s="39"/>
      <c r="L251" s="1" t="s">
        <v>1114</v>
      </c>
      <c r="M251" s="1" t="s">
        <v>1329</v>
      </c>
      <c r="N251" s="1" t="s">
        <v>1330</v>
      </c>
      <c r="O251" s="1" t="s">
        <v>1331</v>
      </c>
      <c r="P251" s="1" t="s">
        <v>2868</v>
      </c>
      <c r="Q251" s="79" t="s">
        <v>14</v>
      </c>
      <c r="R251" s="1" t="s">
        <v>1333</v>
      </c>
    </row>
    <row r="252">
      <c r="A252" s="1" t="s">
        <v>1327</v>
      </c>
      <c r="C252" s="1" t="s">
        <v>2572</v>
      </c>
      <c r="D252" s="15" t="s">
        <v>2869</v>
      </c>
      <c r="E252" s="1" t="s">
        <v>2865</v>
      </c>
      <c r="F252" s="15" t="s">
        <v>1331</v>
      </c>
      <c r="G252" s="1" t="s">
        <v>2868</v>
      </c>
      <c r="H252" s="1" t="s">
        <v>14</v>
      </c>
      <c r="I252" s="17" t="s">
        <v>1333</v>
      </c>
      <c r="J252" s="91">
        <v>2.0</v>
      </c>
      <c r="K252" s="39"/>
      <c r="L252" s="1">
        <v>1.0</v>
      </c>
      <c r="M252" s="1" t="s">
        <v>1329</v>
      </c>
      <c r="N252" s="1" t="s">
        <v>2870</v>
      </c>
      <c r="O252" s="1" t="s">
        <v>2866</v>
      </c>
      <c r="P252" s="1" t="s">
        <v>2867</v>
      </c>
      <c r="Q252" s="1" t="s">
        <v>14</v>
      </c>
      <c r="R252" s="1" t="s">
        <v>1333</v>
      </c>
    </row>
    <row r="253">
      <c r="A253" s="1" t="s">
        <v>1327</v>
      </c>
      <c r="C253" s="1" t="s">
        <v>2572</v>
      </c>
      <c r="D253" s="15" t="s">
        <v>2871</v>
      </c>
      <c r="E253" s="1" t="s">
        <v>2872</v>
      </c>
      <c r="F253" s="15" t="s">
        <v>2668</v>
      </c>
      <c r="G253" s="1" t="s">
        <v>2873</v>
      </c>
      <c r="H253" s="1" t="s">
        <v>54</v>
      </c>
      <c r="I253" s="17" t="s">
        <v>1333</v>
      </c>
      <c r="J253" s="83">
        <v>3.0</v>
      </c>
      <c r="K253" s="39"/>
      <c r="L253" s="1" t="s">
        <v>1334</v>
      </c>
      <c r="M253" s="1" t="s">
        <v>1329</v>
      </c>
      <c r="N253" s="1" t="s">
        <v>1335</v>
      </c>
      <c r="O253" s="1" t="s">
        <v>1336</v>
      </c>
      <c r="P253" s="1" t="s">
        <v>1337</v>
      </c>
      <c r="Q253" s="1" t="s">
        <v>54</v>
      </c>
      <c r="R253" s="1" t="s">
        <v>1333</v>
      </c>
    </row>
    <row r="254">
      <c r="A254" s="1" t="s">
        <v>1327</v>
      </c>
      <c r="C254" s="1" t="s">
        <v>2572</v>
      </c>
      <c r="D254" s="15" t="s">
        <v>1338</v>
      </c>
      <c r="E254" s="1" t="s">
        <v>1339</v>
      </c>
      <c r="F254" s="15" t="s">
        <v>1340</v>
      </c>
      <c r="G254" s="1" t="s">
        <v>1341</v>
      </c>
      <c r="H254" s="1" t="s">
        <v>54</v>
      </c>
      <c r="I254" s="17" t="s">
        <v>1333</v>
      </c>
      <c r="J254" s="79">
        <v>4.0</v>
      </c>
      <c r="K254" s="39"/>
      <c r="L254" s="1">
        <v>4.0</v>
      </c>
      <c r="M254" s="1" t="s">
        <v>1338</v>
      </c>
      <c r="N254" s="1" t="s">
        <v>1339</v>
      </c>
      <c r="O254" s="1" t="s">
        <v>1340</v>
      </c>
      <c r="P254" s="1" t="s">
        <v>1341</v>
      </c>
      <c r="Q254" s="1" t="s">
        <v>54</v>
      </c>
      <c r="R254" s="17" t="s">
        <v>1333</v>
      </c>
    </row>
    <row r="255">
      <c r="A255" s="1" t="s">
        <v>1327</v>
      </c>
      <c r="C255" s="1" t="s">
        <v>2572</v>
      </c>
      <c r="D255" s="15" t="s">
        <v>1350</v>
      </c>
      <c r="E255" s="1" t="s">
        <v>1351</v>
      </c>
      <c r="F255" s="15" t="s">
        <v>1352</v>
      </c>
      <c r="G255" s="1" t="s">
        <v>1353</v>
      </c>
      <c r="H255" s="1" t="s">
        <v>54</v>
      </c>
      <c r="I255" s="17" t="s">
        <v>1333</v>
      </c>
      <c r="J255" s="80">
        <v>5.0</v>
      </c>
      <c r="K255" s="39"/>
      <c r="L255" s="1">
        <v>11.0</v>
      </c>
      <c r="M255" s="1" t="s">
        <v>1342</v>
      </c>
      <c r="N255" s="1" t="s">
        <v>1347</v>
      </c>
      <c r="O255" s="1" t="s">
        <v>1343</v>
      </c>
      <c r="P255" s="1" t="s">
        <v>1344</v>
      </c>
      <c r="Q255" s="1" t="s">
        <v>44</v>
      </c>
      <c r="R255" s="1" t="s">
        <v>1333</v>
      </c>
    </row>
    <row r="256">
      <c r="A256" s="1" t="s">
        <v>1327</v>
      </c>
      <c r="C256" s="1" t="s">
        <v>2572</v>
      </c>
      <c r="D256" s="15" t="s">
        <v>1346</v>
      </c>
      <c r="E256" s="1" t="s">
        <v>2865</v>
      </c>
      <c r="F256" s="15" t="s">
        <v>1348</v>
      </c>
      <c r="G256" s="1" t="s">
        <v>2874</v>
      </c>
      <c r="H256" s="1" t="s">
        <v>44</v>
      </c>
      <c r="I256" s="1" t="s">
        <v>1333</v>
      </c>
      <c r="J256" s="81">
        <v>6.0</v>
      </c>
      <c r="K256" s="39"/>
      <c r="L256" s="1" t="s">
        <v>1345</v>
      </c>
      <c r="M256" s="1" t="s">
        <v>1346</v>
      </c>
      <c r="N256" s="1" t="s">
        <v>1347</v>
      </c>
      <c r="O256" s="1" t="s">
        <v>1348</v>
      </c>
      <c r="P256" s="1" t="s">
        <v>2874</v>
      </c>
      <c r="Q256" s="1" t="s">
        <v>44</v>
      </c>
      <c r="R256" s="1" t="s">
        <v>1333</v>
      </c>
    </row>
    <row r="257">
      <c r="A257" s="1" t="s">
        <v>1327</v>
      </c>
      <c r="C257" s="1" t="s">
        <v>2572</v>
      </c>
      <c r="D257" s="15" t="s">
        <v>1355</v>
      </c>
      <c r="E257" s="1" t="s">
        <v>1356</v>
      </c>
      <c r="F257" s="15" t="s">
        <v>1357</v>
      </c>
      <c r="G257" s="1" t="s">
        <v>1358</v>
      </c>
      <c r="H257" s="1" t="s">
        <v>39</v>
      </c>
      <c r="I257" s="1" t="s">
        <v>1333</v>
      </c>
      <c r="J257" s="86">
        <v>7.0</v>
      </c>
      <c r="K257" s="39"/>
      <c r="L257" s="1">
        <v>5.0</v>
      </c>
      <c r="M257" s="1" t="s">
        <v>1350</v>
      </c>
      <c r="N257" s="1" t="s">
        <v>1351</v>
      </c>
      <c r="O257" s="1" t="s">
        <v>1352</v>
      </c>
      <c r="P257" s="1" t="s">
        <v>1353</v>
      </c>
      <c r="Q257" s="1" t="s">
        <v>54</v>
      </c>
      <c r="R257" s="17" t="s">
        <v>1333</v>
      </c>
    </row>
    <row r="258">
      <c r="A258" s="1" t="s">
        <v>1327</v>
      </c>
      <c r="C258" s="1" t="s">
        <v>2572</v>
      </c>
      <c r="D258" s="15" t="s">
        <v>1359</v>
      </c>
      <c r="E258" s="1" t="s">
        <v>1356</v>
      </c>
      <c r="F258" s="15" t="s">
        <v>1360</v>
      </c>
      <c r="G258" s="1" t="s">
        <v>1361</v>
      </c>
      <c r="H258" s="1" t="s">
        <v>39</v>
      </c>
      <c r="I258" s="1" t="s">
        <v>1333</v>
      </c>
      <c r="J258" s="74">
        <v>8.0</v>
      </c>
      <c r="K258" s="39"/>
      <c r="L258" s="1" t="s">
        <v>1354</v>
      </c>
      <c r="M258" s="1" t="s">
        <v>1355</v>
      </c>
      <c r="N258" s="1" t="s">
        <v>1356</v>
      </c>
      <c r="O258" s="1" t="s">
        <v>1357</v>
      </c>
      <c r="P258" s="1" t="s">
        <v>1358</v>
      </c>
      <c r="Q258" s="1" t="s">
        <v>39</v>
      </c>
      <c r="R258" s="1" t="s">
        <v>1333</v>
      </c>
    </row>
    <row r="259">
      <c r="A259" s="1" t="s">
        <v>1327</v>
      </c>
      <c r="C259" s="1" t="s">
        <v>2236</v>
      </c>
      <c r="D259" s="15" t="s">
        <v>1329</v>
      </c>
      <c r="E259" s="1" t="s">
        <v>1330</v>
      </c>
      <c r="F259" s="15" t="s">
        <v>2875</v>
      </c>
      <c r="G259" s="1" t="s">
        <v>2876</v>
      </c>
      <c r="H259" s="1" t="s">
        <v>91</v>
      </c>
      <c r="I259" s="1" t="s">
        <v>1333</v>
      </c>
      <c r="J259" s="91">
        <v>9.0</v>
      </c>
      <c r="K259" s="39"/>
      <c r="L259" s="1">
        <v>8.0</v>
      </c>
      <c r="M259" s="1" t="s">
        <v>1359</v>
      </c>
      <c r="N259" s="1" t="s">
        <v>1356</v>
      </c>
      <c r="O259" s="1" t="s">
        <v>1360</v>
      </c>
      <c r="P259" s="1" t="s">
        <v>1361</v>
      </c>
      <c r="Q259" s="1" t="s">
        <v>39</v>
      </c>
      <c r="R259" s="1" t="s">
        <v>1333</v>
      </c>
    </row>
    <row r="260">
      <c r="A260" s="1" t="s">
        <v>1327</v>
      </c>
      <c r="C260" s="1" t="s">
        <v>2236</v>
      </c>
      <c r="D260" s="15" t="s">
        <v>1329</v>
      </c>
      <c r="E260" s="1" t="s">
        <v>1335</v>
      </c>
      <c r="F260" s="15" t="s">
        <v>1336</v>
      </c>
      <c r="G260" s="1" t="s">
        <v>2877</v>
      </c>
      <c r="H260" s="1" t="s">
        <v>54</v>
      </c>
      <c r="I260" s="1" t="s">
        <v>1333</v>
      </c>
      <c r="J260" s="83">
        <v>10.0</v>
      </c>
      <c r="K260" s="39"/>
    </row>
    <row r="261">
      <c r="A261" s="1" t="s">
        <v>1327</v>
      </c>
      <c r="C261" s="1" t="s">
        <v>2236</v>
      </c>
      <c r="D261" s="15" t="s">
        <v>1342</v>
      </c>
      <c r="E261" s="1" t="s">
        <v>1347</v>
      </c>
      <c r="F261" s="15" t="s">
        <v>1343</v>
      </c>
      <c r="G261" s="1" t="s">
        <v>1344</v>
      </c>
      <c r="H261" s="1" t="s">
        <v>44</v>
      </c>
      <c r="I261" s="1" t="s">
        <v>1333</v>
      </c>
      <c r="J261" s="81">
        <v>11.0</v>
      </c>
      <c r="K261" s="39"/>
    </row>
    <row r="262">
      <c r="A262" s="1" t="s">
        <v>1327</v>
      </c>
      <c r="C262" s="1" t="s">
        <v>2236</v>
      </c>
      <c r="D262" s="15" t="s">
        <v>2878</v>
      </c>
      <c r="E262" s="1" t="s">
        <v>1743</v>
      </c>
      <c r="F262" s="15" t="s">
        <v>719</v>
      </c>
      <c r="G262" s="1" t="s">
        <v>434</v>
      </c>
      <c r="H262" s="1" t="s">
        <v>39</v>
      </c>
      <c r="I262" s="1" t="s">
        <v>1333</v>
      </c>
      <c r="J262" s="86">
        <v>12.0</v>
      </c>
      <c r="K262" s="39"/>
    </row>
    <row r="263">
      <c r="A263" s="69"/>
      <c r="B263" s="67"/>
      <c r="C263" s="67"/>
      <c r="D263" s="96"/>
      <c r="E263" s="67"/>
      <c r="F263" s="96"/>
      <c r="G263" s="67"/>
      <c r="H263" s="67"/>
      <c r="I263" s="67"/>
      <c r="J263" s="67"/>
      <c r="K263" s="67"/>
      <c r="L263" s="67"/>
      <c r="M263" s="67"/>
      <c r="N263" s="67"/>
      <c r="O263" s="67"/>
      <c r="P263" s="67"/>
      <c r="Q263" s="67"/>
      <c r="R263" s="67"/>
      <c r="S263" s="67"/>
      <c r="T263" s="67"/>
      <c r="U263" s="67"/>
      <c r="V263" s="67"/>
      <c r="W263" s="67"/>
      <c r="X263" s="67"/>
      <c r="Y263" s="67"/>
      <c r="Z263" s="67"/>
      <c r="AA263" s="67"/>
      <c r="AB263" s="67"/>
      <c r="AC263" s="67"/>
      <c r="AD263" s="67"/>
      <c r="AE263" s="67"/>
    </row>
    <row r="264">
      <c r="A264" s="1" t="s">
        <v>2204</v>
      </c>
      <c r="C264" s="1" t="s">
        <v>2572</v>
      </c>
      <c r="D264" s="15" t="s">
        <v>2879</v>
      </c>
      <c r="E264" s="1" t="s">
        <v>2880</v>
      </c>
      <c r="F264" s="15" t="s">
        <v>2881</v>
      </c>
      <c r="H264" s="1" t="s">
        <v>14</v>
      </c>
      <c r="I264" s="1" t="s">
        <v>488</v>
      </c>
      <c r="J264" s="78">
        <v>1.0</v>
      </c>
      <c r="K264" s="39"/>
      <c r="L264" s="1">
        <v>8.0</v>
      </c>
      <c r="M264" s="1" t="s">
        <v>2882</v>
      </c>
      <c r="N264" s="1" t="s">
        <v>2097</v>
      </c>
      <c r="O264" s="1" t="s">
        <v>2883</v>
      </c>
      <c r="Q264" s="1" t="s">
        <v>14</v>
      </c>
      <c r="R264" s="1" t="s">
        <v>488</v>
      </c>
    </row>
    <row r="265">
      <c r="A265" s="1" t="s">
        <v>2204</v>
      </c>
      <c r="C265" s="1" t="s">
        <v>2572</v>
      </c>
      <c r="D265" s="15" t="s">
        <v>2879</v>
      </c>
      <c r="E265" s="1" t="s">
        <v>2880</v>
      </c>
      <c r="F265" s="15" t="s">
        <v>2884</v>
      </c>
      <c r="H265" s="1" t="s">
        <v>14</v>
      </c>
      <c r="I265" s="1" t="s">
        <v>488</v>
      </c>
      <c r="J265" s="86">
        <v>2.0</v>
      </c>
      <c r="K265" s="39"/>
      <c r="L265" s="1">
        <v>1.0</v>
      </c>
      <c r="M265" s="1" t="s">
        <v>2882</v>
      </c>
      <c r="N265" s="1" t="s">
        <v>2880</v>
      </c>
      <c r="O265" s="1" t="s">
        <v>2881</v>
      </c>
      <c r="Q265" s="1" t="s">
        <v>14</v>
      </c>
      <c r="R265" s="1" t="s">
        <v>488</v>
      </c>
    </row>
    <row r="266">
      <c r="A266" s="1" t="s">
        <v>2204</v>
      </c>
      <c r="C266" s="1" t="s">
        <v>2572</v>
      </c>
      <c r="D266" s="15" t="s">
        <v>2879</v>
      </c>
      <c r="E266" s="1" t="s">
        <v>2880</v>
      </c>
      <c r="F266" s="15" t="s">
        <v>2885</v>
      </c>
      <c r="H266" s="1" t="s">
        <v>14</v>
      </c>
      <c r="I266" s="1" t="s">
        <v>488</v>
      </c>
      <c r="J266" s="81">
        <v>3.0</v>
      </c>
      <c r="K266" s="39"/>
      <c r="L266" s="1">
        <v>2.0</v>
      </c>
      <c r="M266" s="1" t="s">
        <v>2882</v>
      </c>
      <c r="N266" s="1" t="s">
        <v>2880</v>
      </c>
      <c r="O266" s="1" t="s">
        <v>2884</v>
      </c>
      <c r="Q266" s="1" t="s">
        <v>14</v>
      </c>
      <c r="R266" s="1" t="s">
        <v>488</v>
      </c>
    </row>
    <row r="267">
      <c r="A267" s="1" t="s">
        <v>2204</v>
      </c>
      <c r="C267" s="1" t="s">
        <v>2572</v>
      </c>
      <c r="D267" s="15" t="s">
        <v>2886</v>
      </c>
      <c r="E267" s="1" t="s">
        <v>2880</v>
      </c>
      <c r="F267" s="15" t="s">
        <v>2887</v>
      </c>
      <c r="G267" s="1" t="s">
        <v>2888</v>
      </c>
      <c r="H267" s="1" t="s">
        <v>14</v>
      </c>
      <c r="I267" s="1" t="s">
        <v>488</v>
      </c>
      <c r="J267" s="83">
        <v>4.0</v>
      </c>
      <c r="K267" s="39"/>
      <c r="L267" s="1">
        <v>3.0</v>
      </c>
      <c r="M267" s="1" t="s">
        <v>2882</v>
      </c>
      <c r="N267" s="1" t="s">
        <v>2880</v>
      </c>
      <c r="O267" s="1" t="s">
        <v>2885</v>
      </c>
      <c r="Q267" s="1" t="s">
        <v>14</v>
      </c>
      <c r="R267" s="1" t="s">
        <v>488</v>
      </c>
    </row>
    <row r="268">
      <c r="A268" s="1" t="s">
        <v>2204</v>
      </c>
      <c r="C268" s="1" t="s">
        <v>2572</v>
      </c>
      <c r="D268" s="15" t="s">
        <v>2889</v>
      </c>
      <c r="E268" s="1" t="s">
        <v>503</v>
      </c>
      <c r="F268" s="15" t="s">
        <v>2890</v>
      </c>
      <c r="H268" s="1" t="s">
        <v>2388</v>
      </c>
      <c r="I268" s="1" t="s">
        <v>488</v>
      </c>
      <c r="J268" s="93">
        <v>5.0</v>
      </c>
      <c r="K268" s="39"/>
      <c r="L268" s="1">
        <v>4.0</v>
      </c>
      <c r="M268" s="1" t="s">
        <v>2891</v>
      </c>
      <c r="N268" s="1" t="s">
        <v>2880</v>
      </c>
      <c r="O268" s="1" t="s">
        <v>2887</v>
      </c>
      <c r="P268" s="1" t="s">
        <v>2888</v>
      </c>
      <c r="Q268" s="1" t="s">
        <v>14</v>
      </c>
      <c r="R268" s="1" t="s">
        <v>488</v>
      </c>
    </row>
    <row r="269">
      <c r="A269" s="17" t="s">
        <v>2204</v>
      </c>
      <c r="C269" s="1" t="s">
        <v>2572</v>
      </c>
      <c r="D269" s="15" t="s">
        <v>2892</v>
      </c>
      <c r="E269" s="1" t="s">
        <v>1370</v>
      </c>
      <c r="F269" s="15" t="s">
        <v>2893</v>
      </c>
      <c r="G269" s="1" t="s">
        <v>2894</v>
      </c>
      <c r="H269" s="1" t="s">
        <v>39</v>
      </c>
      <c r="I269" s="1" t="s">
        <v>488</v>
      </c>
      <c r="J269" s="115">
        <v>6.0</v>
      </c>
      <c r="K269" s="39"/>
      <c r="L269" s="1">
        <v>9.0</v>
      </c>
      <c r="M269" s="1" t="s">
        <v>2895</v>
      </c>
      <c r="O269" s="1" t="s">
        <v>2896</v>
      </c>
      <c r="Q269" s="1" t="s">
        <v>44</v>
      </c>
      <c r="R269" s="1" t="s">
        <v>488</v>
      </c>
    </row>
    <row r="270">
      <c r="A270" s="17" t="s">
        <v>2204</v>
      </c>
      <c r="C270" s="1" t="s">
        <v>2572</v>
      </c>
      <c r="D270" s="15" t="s">
        <v>2897</v>
      </c>
      <c r="E270" s="1" t="s">
        <v>748</v>
      </c>
      <c r="F270" s="15" t="s">
        <v>2898</v>
      </c>
      <c r="G270" s="1" t="s">
        <v>2899</v>
      </c>
      <c r="H270" s="1" t="s">
        <v>39</v>
      </c>
      <c r="I270" s="1" t="s">
        <v>488</v>
      </c>
      <c r="J270" s="77">
        <v>7.0</v>
      </c>
      <c r="K270" s="39"/>
      <c r="L270" s="1">
        <v>5.0</v>
      </c>
      <c r="M270" s="1" t="s">
        <v>2900</v>
      </c>
      <c r="N270" s="1" t="s">
        <v>503</v>
      </c>
      <c r="O270" s="1" t="s">
        <v>2890</v>
      </c>
      <c r="Q270" s="1" t="s">
        <v>2388</v>
      </c>
      <c r="R270" s="1" t="s">
        <v>488</v>
      </c>
    </row>
    <row r="271">
      <c r="A271" s="17" t="s">
        <v>2204</v>
      </c>
      <c r="C271" s="1" t="s">
        <v>2303</v>
      </c>
      <c r="D271" s="15" t="s">
        <v>2882</v>
      </c>
      <c r="E271" s="1" t="s">
        <v>2097</v>
      </c>
      <c r="F271" s="15" t="s">
        <v>2883</v>
      </c>
      <c r="H271" s="1" t="s">
        <v>14</v>
      </c>
      <c r="I271" s="1" t="s">
        <v>488</v>
      </c>
      <c r="J271" s="79">
        <v>8.0</v>
      </c>
      <c r="K271" s="39"/>
      <c r="L271" s="1">
        <v>10.0</v>
      </c>
      <c r="M271" s="1" t="s">
        <v>2901</v>
      </c>
      <c r="O271" s="1" t="s">
        <v>2902</v>
      </c>
      <c r="Q271" s="1" t="s">
        <v>2388</v>
      </c>
      <c r="R271" s="1" t="s">
        <v>488</v>
      </c>
    </row>
    <row r="272">
      <c r="A272" s="17" t="s">
        <v>2204</v>
      </c>
      <c r="C272" s="1" t="s">
        <v>2303</v>
      </c>
      <c r="D272" s="15" t="s">
        <v>2895</v>
      </c>
      <c r="F272" s="15" t="s">
        <v>2896</v>
      </c>
      <c r="H272" s="1" t="s">
        <v>44</v>
      </c>
      <c r="I272" s="1" t="s">
        <v>488</v>
      </c>
      <c r="J272" s="91">
        <v>9.0</v>
      </c>
      <c r="K272" s="39"/>
      <c r="L272" s="1" t="s">
        <v>2903</v>
      </c>
      <c r="M272" s="1" t="s">
        <v>2904</v>
      </c>
      <c r="N272" s="1" t="s">
        <v>1370</v>
      </c>
      <c r="O272" s="1" t="s">
        <v>2893</v>
      </c>
      <c r="P272" s="1" t="s">
        <v>2894</v>
      </c>
      <c r="Q272" s="1" t="s">
        <v>39</v>
      </c>
      <c r="R272" s="1" t="s">
        <v>488</v>
      </c>
    </row>
    <row r="273">
      <c r="A273" s="17" t="s">
        <v>2204</v>
      </c>
      <c r="C273" s="1" t="s">
        <v>2303</v>
      </c>
      <c r="D273" s="15" t="s">
        <v>2901</v>
      </c>
      <c r="F273" s="15" t="s">
        <v>2902</v>
      </c>
      <c r="H273" s="1" t="s">
        <v>2388</v>
      </c>
      <c r="I273" s="1" t="s">
        <v>488</v>
      </c>
      <c r="J273" s="85">
        <v>10.0</v>
      </c>
      <c r="K273" s="39"/>
      <c r="L273" s="1" t="s">
        <v>1354</v>
      </c>
      <c r="M273" s="1" t="s">
        <v>2905</v>
      </c>
      <c r="N273" s="1" t="s">
        <v>748</v>
      </c>
      <c r="O273" s="1" t="s">
        <v>2906</v>
      </c>
      <c r="P273" s="1" t="s">
        <v>2899</v>
      </c>
      <c r="Q273" s="1" t="s">
        <v>39</v>
      </c>
      <c r="R273" s="1" t="s">
        <v>488</v>
      </c>
    </row>
    <row r="274">
      <c r="A274" s="17" t="s">
        <v>2204</v>
      </c>
      <c r="C274" s="1" t="s">
        <v>2303</v>
      </c>
      <c r="D274" s="15" t="s">
        <v>2907</v>
      </c>
      <c r="F274" s="15" t="s">
        <v>2908</v>
      </c>
      <c r="G274" s="1" t="s">
        <v>2909</v>
      </c>
      <c r="H274" s="1" t="s">
        <v>39</v>
      </c>
      <c r="I274" s="1" t="s">
        <v>488</v>
      </c>
      <c r="J274" s="115">
        <v>11.0</v>
      </c>
      <c r="K274" s="39"/>
      <c r="L274" s="1">
        <v>13.0</v>
      </c>
      <c r="M274" s="1" t="s">
        <v>2910</v>
      </c>
      <c r="O274" s="1" t="s">
        <v>2911</v>
      </c>
      <c r="P274" s="1" t="s">
        <v>2912</v>
      </c>
      <c r="Q274" s="1" t="s">
        <v>39</v>
      </c>
      <c r="R274" s="1" t="s">
        <v>488</v>
      </c>
    </row>
    <row r="275">
      <c r="A275" s="17" t="s">
        <v>2204</v>
      </c>
      <c r="C275" s="1" t="s">
        <v>2303</v>
      </c>
      <c r="D275" s="15" t="s">
        <v>2913</v>
      </c>
      <c r="F275" s="15" t="s">
        <v>2914</v>
      </c>
      <c r="H275" s="1" t="s">
        <v>39</v>
      </c>
      <c r="I275" s="1" t="s">
        <v>488</v>
      </c>
      <c r="J275" s="77">
        <v>12.0</v>
      </c>
      <c r="K275" s="39"/>
    </row>
    <row r="276">
      <c r="A276" s="17" t="s">
        <v>2204</v>
      </c>
      <c r="C276" s="1" t="s">
        <v>2303</v>
      </c>
      <c r="D276" s="15" t="s">
        <v>2910</v>
      </c>
      <c r="F276" s="15" t="s">
        <v>2911</v>
      </c>
      <c r="G276" s="1" t="s">
        <v>2912</v>
      </c>
      <c r="H276" s="1" t="s">
        <v>39</v>
      </c>
      <c r="I276" s="1" t="s">
        <v>488</v>
      </c>
      <c r="J276" s="90">
        <v>13.0</v>
      </c>
      <c r="K276" s="39"/>
    </row>
    <row r="277">
      <c r="A277" s="69"/>
      <c r="B277" s="67"/>
      <c r="C277" s="67"/>
      <c r="D277" s="96"/>
      <c r="E277" s="67"/>
      <c r="F277" s="96"/>
      <c r="G277" s="67"/>
      <c r="H277" s="67"/>
      <c r="I277" s="67"/>
      <c r="J277" s="67"/>
      <c r="K277" s="67"/>
      <c r="L277" s="67"/>
      <c r="M277" s="67"/>
      <c r="N277" s="67"/>
      <c r="O277" s="67"/>
      <c r="P277" s="67"/>
      <c r="Q277" s="67"/>
      <c r="R277" s="67"/>
      <c r="S277" s="67"/>
      <c r="T277" s="67"/>
      <c r="U277" s="67"/>
      <c r="V277" s="67"/>
      <c r="W277" s="67"/>
      <c r="X277" s="67"/>
      <c r="Y277" s="67"/>
      <c r="Z277" s="67"/>
      <c r="AA277" s="67"/>
      <c r="AB277" s="67"/>
      <c r="AC277" s="67"/>
      <c r="AD277" s="67"/>
      <c r="AE277" s="67"/>
    </row>
    <row r="278">
      <c r="A278" s="1" t="s">
        <v>1362</v>
      </c>
      <c r="C278" s="1" t="s">
        <v>2572</v>
      </c>
      <c r="D278" s="15" t="s">
        <v>1364</v>
      </c>
      <c r="E278" s="1" t="s">
        <v>1365</v>
      </c>
      <c r="F278" s="15" t="s">
        <v>1366</v>
      </c>
      <c r="H278" s="1" t="s">
        <v>54</v>
      </c>
      <c r="I278" s="1" t="s">
        <v>1367</v>
      </c>
      <c r="J278" s="91">
        <v>1.0</v>
      </c>
      <c r="K278" s="39"/>
      <c r="L278" s="1" t="s">
        <v>1363</v>
      </c>
      <c r="M278" s="1" t="s">
        <v>1364</v>
      </c>
      <c r="N278" s="1" t="s">
        <v>1365</v>
      </c>
      <c r="O278" s="1" t="s">
        <v>1366</v>
      </c>
      <c r="Q278" s="92" t="s">
        <v>20</v>
      </c>
      <c r="R278" s="1" t="s">
        <v>1367</v>
      </c>
    </row>
    <row r="279">
      <c r="A279" s="1" t="s">
        <v>1362</v>
      </c>
      <c r="C279" s="1" t="s">
        <v>2572</v>
      </c>
      <c r="D279" s="15" t="s">
        <v>1364</v>
      </c>
      <c r="E279" s="1" t="s">
        <v>1365</v>
      </c>
      <c r="F279" s="15" t="s">
        <v>1368</v>
      </c>
      <c r="G279" s="1" t="s">
        <v>1369</v>
      </c>
      <c r="H279" s="1" t="s">
        <v>54</v>
      </c>
      <c r="I279" s="1" t="s">
        <v>1367</v>
      </c>
      <c r="J279" s="86">
        <v>2.0</v>
      </c>
      <c r="K279" s="39"/>
      <c r="L279" s="1">
        <v>2.0</v>
      </c>
      <c r="M279" s="1" t="s">
        <v>1364</v>
      </c>
      <c r="N279" s="1" t="s">
        <v>1365</v>
      </c>
      <c r="O279" s="1" t="s">
        <v>1368</v>
      </c>
      <c r="P279" s="1" t="s">
        <v>1369</v>
      </c>
      <c r="Q279" s="1" t="s">
        <v>54</v>
      </c>
      <c r="R279" s="1" t="s">
        <v>1367</v>
      </c>
    </row>
    <row r="280">
      <c r="A280" s="1" t="s">
        <v>1362</v>
      </c>
      <c r="C280" s="1" t="s">
        <v>2572</v>
      </c>
      <c r="D280" s="15" t="s">
        <v>1364</v>
      </c>
      <c r="E280" s="1" t="s">
        <v>1370</v>
      </c>
      <c r="F280" s="15" t="s">
        <v>1371</v>
      </c>
      <c r="G280" s="1"/>
      <c r="H280" s="1" t="s">
        <v>39</v>
      </c>
      <c r="I280" s="1" t="s">
        <v>1367</v>
      </c>
      <c r="J280" s="78">
        <v>3.0</v>
      </c>
      <c r="K280" s="39"/>
      <c r="L280" s="1" t="s">
        <v>1155</v>
      </c>
      <c r="M280" s="1" t="s">
        <v>1364</v>
      </c>
      <c r="N280" s="1" t="s">
        <v>1370</v>
      </c>
      <c r="O280" s="1" t="s">
        <v>1371</v>
      </c>
      <c r="P280" s="1"/>
      <c r="Q280" s="81" t="s">
        <v>54</v>
      </c>
      <c r="R280" s="1" t="s">
        <v>1367</v>
      </c>
    </row>
    <row r="281">
      <c r="A281" s="1" t="s">
        <v>1362</v>
      </c>
      <c r="C281" s="1" t="s">
        <v>2572</v>
      </c>
      <c r="D281" s="15" t="s">
        <v>2915</v>
      </c>
      <c r="E281" s="1" t="s">
        <v>503</v>
      </c>
      <c r="F281" s="15" t="s">
        <v>2916</v>
      </c>
      <c r="G281" s="1"/>
      <c r="H281" s="1" t="s">
        <v>54</v>
      </c>
      <c r="I281" s="1" t="s">
        <v>1367</v>
      </c>
      <c r="J281" s="80">
        <v>4.0</v>
      </c>
      <c r="K281" s="39"/>
      <c r="L281" s="1" t="s">
        <v>1161</v>
      </c>
      <c r="M281" s="1" t="s">
        <v>1372</v>
      </c>
      <c r="N281" s="1" t="s">
        <v>503</v>
      </c>
      <c r="O281" s="1" t="s">
        <v>2917</v>
      </c>
      <c r="P281" s="1" t="s">
        <v>1374</v>
      </c>
      <c r="Q281" s="1" t="s">
        <v>54</v>
      </c>
      <c r="R281" s="1" t="s">
        <v>1367</v>
      </c>
    </row>
    <row r="282">
      <c r="A282" s="1" t="s">
        <v>1362</v>
      </c>
      <c r="C282" s="1" t="s">
        <v>2572</v>
      </c>
      <c r="D282" s="15" t="s">
        <v>1372</v>
      </c>
      <c r="E282" s="1" t="s">
        <v>1379</v>
      </c>
      <c r="F282" s="15" t="s">
        <v>1380</v>
      </c>
      <c r="G282" s="1" t="s">
        <v>1381</v>
      </c>
      <c r="H282" s="1" t="s">
        <v>39</v>
      </c>
      <c r="I282" s="1" t="s">
        <v>1367</v>
      </c>
      <c r="J282" s="79">
        <v>5.0</v>
      </c>
      <c r="K282" s="39"/>
      <c r="L282" s="1" t="s">
        <v>1123</v>
      </c>
      <c r="M282" s="1" t="s">
        <v>1372</v>
      </c>
      <c r="N282" s="1" t="s">
        <v>503</v>
      </c>
      <c r="O282" s="1" t="s">
        <v>1375</v>
      </c>
      <c r="P282" s="1" t="s">
        <v>1376</v>
      </c>
      <c r="Q282" s="1" t="s">
        <v>54</v>
      </c>
      <c r="R282" s="1" t="s">
        <v>1367</v>
      </c>
    </row>
    <row r="283">
      <c r="A283" s="1" t="s">
        <v>1362</v>
      </c>
      <c r="C283" s="1" t="s">
        <v>2572</v>
      </c>
      <c r="D283" s="15" t="s">
        <v>1383</v>
      </c>
      <c r="E283" s="1" t="s">
        <v>2918</v>
      </c>
      <c r="F283" s="15" t="s">
        <v>2919</v>
      </c>
      <c r="G283" s="1" t="s">
        <v>2920</v>
      </c>
      <c r="H283" s="1" t="s">
        <v>39</v>
      </c>
      <c r="I283" s="1" t="s">
        <v>1367</v>
      </c>
      <c r="J283" s="84">
        <v>6.0</v>
      </c>
      <c r="K283" s="39"/>
      <c r="L283" s="1">
        <v>11.0</v>
      </c>
      <c r="M283" s="1" t="s">
        <v>1372</v>
      </c>
      <c r="O283" s="1" t="s">
        <v>2921</v>
      </c>
      <c r="P283" s="1" t="s">
        <v>1378</v>
      </c>
      <c r="Q283" s="1" t="s">
        <v>54</v>
      </c>
      <c r="R283" s="1" t="s">
        <v>1367</v>
      </c>
    </row>
    <row r="284">
      <c r="A284" s="1" t="s">
        <v>1362</v>
      </c>
      <c r="C284" s="1" t="s">
        <v>2384</v>
      </c>
      <c r="D284" s="15" t="s">
        <v>1364</v>
      </c>
      <c r="F284" s="15" t="s">
        <v>2922</v>
      </c>
      <c r="H284" s="1" t="s">
        <v>54</v>
      </c>
      <c r="I284" s="1" t="s">
        <v>1367</v>
      </c>
      <c r="J284" s="91">
        <v>7.0</v>
      </c>
      <c r="K284" s="39"/>
      <c r="L284" s="1">
        <v>5.0</v>
      </c>
      <c r="M284" s="1" t="s">
        <v>1372</v>
      </c>
      <c r="N284" s="1" t="s">
        <v>1379</v>
      </c>
      <c r="O284" s="1" t="s">
        <v>1380</v>
      </c>
      <c r="P284" s="1" t="s">
        <v>1381</v>
      </c>
      <c r="Q284" s="1" t="s">
        <v>39</v>
      </c>
      <c r="R284" s="1" t="s">
        <v>1367</v>
      </c>
    </row>
    <row r="285">
      <c r="A285" s="1" t="s">
        <v>1362</v>
      </c>
      <c r="C285" s="1" t="s">
        <v>2384</v>
      </c>
      <c r="D285" s="15" t="s">
        <v>1364</v>
      </c>
      <c r="F285" s="15" t="s">
        <v>1371</v>
      </c>
      <c r="H285" s="1" t="s">
        <v>54</v>
      </c>
      <c r="I285" s="1" t="s">
        <v>1367</v>
      </c>
      <c r="J285" s="78">
        <v>8.0</v>
      </c>
      <c r="K285" s="39"/>
      <c r="L285" s="1" t="s">
        <v>1382</v>
      </c>
      <c r="M285" s="1" t="s">
        <v>1383</v>
      </c>
      <c r="O285" s="1" t="s">
        <v>1384</v>
      </c>
      <c r="P285" s="1" t="s">
        <v>1385</v>
      </c>
      <c r="Q285" s="1" t="s">
        <v>39</v>
      </c>
      <c r="R285" s="1" t="s">
        <v>1367</v>
      </c>
    </row>
    <row r="286">
      <c r="A286" s="1" t="s">
        <v>1362</v>
      </c>
      <c r="C286" s="1" t="s">
        <v>2384</v>
      </c>
      <c r="D286" s="15" t="s">
        <v>2915</v>
      </c>
      <c r="F286" s="15" t="s">
        <v>2923</v>
      </c>
      <c r="G286" s="1" t="s">
        <v>1376</v>
      </c>
      <c r="H286" s="1" t="s">
        <v>54</v>
      </c>
      <c r="I286" s="1" t="s">
        <v>1367</v>
      </c>
      <c r="J286" s="80">
        <v>9.0</v>
      </c>
      <c r="K286" s="39"/>
      <c r="L286" s="1">
        <v>14.0</v>
      </c>
      <c r="M286" s="1" t="s">
        <v>1383</v>
      </c>
      <c r="O286" s="1" t="s">
        <v>1386</v>
      </c>
      <c r="P286" s="1" t="s">
        <v>1387</v>
      </c>
      <c r="Q286" s="1" t="s">
        <v>39</v>
      </c>
      <c r="R286" s="1" t="s">
        <v>1367</v>
      </c>
    </row>
    <row r="287">
      <c r="A287" s="1" t="s">
        <v>1362</v>
      </c>
      <c r="C287" s="1" t="s">
        <v>2384</v>
      </c>
      <c r="D287" s="15" t="s">
        <v>2915</v>
      </c>
      <c r="F287" s="15" t="s">
        <v>2924</v>
      </c>
      <c r="G287" s="1" t="s">
        <v>1374</v>
      </c>
      <c r="H287" s="1" t="s">
        <v>54</v>
      </c>
      <c r="I287" s="1" t="s">
        <v>1367</v>
      </c>
      <c r="J287" s="77">
        <v>10.0</v>
      </c>
      <c r="K287" s="39"/>
      <c r="L287" s="1">
        <v>16.0</v>
      </c>
      <c r="M287" s="1" t="s">
        <v>1388</v>
      </c>
      <c r="O287" s="1" t="s">
        <v>2392</v>
      </c>
      <c r="P287" s="1" t="s">
        <v>364</v>
      </c>
      <c r="Q287" s="1" t="s">
        <v>39</v>
      </c>
      <c r="R287" s="1" t="s">
        <v>1367</v>
      </c>
    </row>
    <row r="288">
      <c r="A288" s="1" t="s">
        <v>1362</v>
      </c>
      <c r="C288" s="1" t="s">
        <v>2384</v>
      </c>
      <c r="D288" s="15" t="s">
        <v>1372</v>
      </c>
      <c r="F288" s="15" t="s">
        <v>2921</v>
      </c>
      <c r="G288" s="1" t="s">
        <v>1378</v>
      </c>
      <c r="H288" s="1" t="s">
        <v>54</v>
      </c>
      <c r="I288" s="1" t="s">
        <v>1367</v>
      </c>
      <c r="J288" s="103">
        <v>11.0</v>
      </c>
      <c r="K288" s="39"/>
      <c r="L288" s="1">
        <v>15.0</v>
      </c>
      <c r="M288" s="1" t="s">
        <v>1390</v>
      </c>
      <c r="N288" s="1" t="s">
        <v>1391</v>
      </c>
      <c r="O288" s="1" t="s">
        <v>1392</v>
      </c>
      <c r="P288" s="1" t="s">
        <v>2925</v>
      </c>
      <c r="Q288" s="1" t="s">
        <v>2388</v>
      </c>
      <c r="R288" s="1" t="s">
        <v>1367</v>
      </c>
    </row>
    <row r="289">
      <c r="A289" s="1" t="s">
        <v>1362</v>
      </c>
      <c r="C289" s="1" t="s">
        <v>2384</v>
      </c>
      <c r="D289" s="15" t="s">
        <v>1383</v>
      </c>
      <c r="F289" s="15" t="s">
        <v>934</v>
      </c>
      <c r="G289" s="1" t="s">
        <v>1385</v>
      </c>
      <c r="H289" s="1" t="s">
        <v>39</v>
      </c>
      <c r="I289" s="1" t="s">
        <v>1367</v>
      </c>
      <c r="J289" s="84">
        <v>12.0</v>
      </c>
      <c r="K289" s="39"/>
    </row>
    <row r="290">
      <c r="A290" s="1" t="s">
        <v>1362</v>
      </c>
      <c r="C290" s="1" t="s">
        <v>2384</v>
      </c>
      <c r="D290" s="15" t="s">
        <v>1383</v>
      </c>
      <c r="F290" s="15" t="s">
        <v>2505</v>
      </c>
      <c r="G290" s="1" t="s">
        <v>1385</v>
      </c>
      <c r="H290" s="1" t="s">
        <v>39</v>
      </c>
      <c r="I290" s="1" t="s">
        <v>1367</v>
      </c>
      <c r="J290" s="84">
        <v>13.0</v>
      </c>
      <c r="K290" s="39"/>
    </row>
    <row r="291">
      <c r="A291" s="1" t="s">
        <v>1362</v>
      </c>
      <c r="C291" s="1" t="s">
        <v>2384</v>
      </c>
      <c r="D291" s="15" t="s">
        <v>1383</v>
      </c>
      <c r="F291" s="15" t="s">
        <v>1386</v>
      </c>
      <c r="G291" s="1" t="s">
        <v>1387</v>
      </c>
      <c r="H291" s="1" t="s">
        <v>39</v>
      </c>
      <c r="I291" s="1" t="s">
        <v>1367</v>
      </c>
      <c r="J291" s="91">
        <v>14.0</v>
      </c>
      <c r="K291" s="39"/>
    </row>
    <row r="292">
      <c r="A292" s="1" t="s">
        <v>1362</v>
      </c>
      <c r="C292" s="1" t="s">
        <v>2384</v>
      </c>
      <c r="D292" s="15" t="s">
        <v>1390</v>
      </c>
      <c r="E292" s="1" t="s">
        <v>1391</v>
      </c>
      <c r="F292" s="15" t="s">
        <v>1392</v>
      </c>
      <c r="G292" s="1" t="s">
        <v>2925</v>
      </c>
      <c r="H292" s="1" t="s">
        <v>2388</v>
      </c>
      <c r="I292" s="1" t="s">
        <v>1367</v>
      </c>
      <c r="J292" s="86">
        <v>15.0</v>
      </c>
      <c r="K292" s="39"/>
    </row>
    <row r="293">
      <c r="A293" s="1" t="s">
        <v>1362</v>
      </c>
      <c r="C293" s="1" t="s">
        <v>2384</v>
      </c>
      <c r="D293" s="15" t="s">
        <v>1388</v>
      </c>
      <c r="F293" s="15" t="s">
        <v>2392</v>
      </c>
      <c r="G293" s="1" t="s">
        <v>364</v>
      </c>
      <c r="H293" s="1" t="s">
        <v>39</v>
      </c>
      <c r="I293" s="1" t="s">
        <v>1367</v>
      </c>
      <c r="J293" s="104">
        <v>16.0</v>
      </c>
      <c r="K293" s="39"/>
    </row>
    <row r="294">
      <c r="A294" s="69"/>
      <c r="B294" s="67"/>
      <c r="C294" s="67"/>
      <c r="D294" s="96"/>
      <c r="E294" s="67"/>
      <c r="F294" s="96"/>
      <c r="G294" s="67"/>
      <c r="H294" s="67"/>
      <c r="I294" s="67"/>
      <c r="J294" s="67"/>
      <c r="K294" s="67"/>
      <c r="L294" s="67"/>
      <c r="M294" s="67"/>
      <c r="N294" s="67"/>
      <c r="O294" s="67"/>
      <c r="P294" s="67"/>
      <c r="Q294" s="67"/>
      <c r="R294" s="67"/>
      <c r="S294" s="67"/>
      <c r="T294" s="67"/>
      <c r="U294" s="67"/>
      <c r="V294" s="67"/>
      <c r="W294" s="67"/>
      <c r="X294" s="67"/>
      <c r="Y294" s="67"/>
      <c r="Z294" s="67"/>
      <c r="AA294" s="67"/>
      <c r="AB294" s="67"/>
      <c r="AC294" s="67"/>
      <c r="AD294" s="67"/>
      <c r="AE294" s="67"/>
    </row>
    <row r="295">
      <c r="A295" s="1" t="s">
        <v>1394</v>
      </c>
      <c r="C295" s="1" t="s">
        <v>2572</v>
      </c>
      <c r="D295" s="15" t="s">
        <v>2926</v>
      </c>
      <c r="E295" s="1" t="s">
        <v>503</v>
      </c>
      <c r="F295" s="15" t="s">
        <v>1397</v>
      </c>
      <c r="G295" s="1" t="s">
        <v>1398</v>
      </c>
      <c r="H295" s="1" t="s">
        <v>54</v>
      </c>
      <c r="I295" s="1" t="s">
        <v>1399</v>
      </c>
      <c r="J295" s="91">
        <v>1.0</v>
      </c>
      <c r="K295" s="39"/>
      <c r="L295" s="1" t="s">
        <v>1395</v>
      </c>
      <c r="M295" s="1" t="s">
        <v>1396</v>
      </c>
      <c r="N295" s="1" t="s">
        <v>503</v>
      </c>
      <c r="O295" s="1" t="s">
        <v>1397</v>
      </c>
      <c r="P295" s="1" t="s">
        <v>1398</v>
      </c>
      <c r="Q295" s="1" t="s">
        <v>54</v>
      </c>
      <c r="R295" s="1" t="s">
        <v>1399</v>
      </c>
    </row>
    <row r="296">
      <c r="A296" s="1" t="s">
        <v>1394</v>
      </c>
      <c r="C296" s="1" t="s">
        <v>2572</v>
      </c>
      <c r="D296" s="15" t="s">
        <v>2927</v>
      </c>
      <c r="E296" s="1" t="s">
        <v>503</v>
      </c>
      <c r="F296" s="15" t="s">
        <v>1406</v>
      </c>
      <c r="G296" s="1" t="s">
        <v>1407</v>
      </c>
      <c r="H296" s="1" t="s">
        <v>54</v>
      </c>
      <c r="I296" s="1" t="s">
        <v>1399</v>
      </c>
      <c r="J296" s="83">
        <v>2.0</v>
      </c>
      <c r="K296" s="39"/>
      <c r="L296" s="1">
        <v>9.0</v>
      </c>
      <c r="M296" s="1" t="s">
        <v>1400</v>
      </c>
      <c r="N296" s="1" t="s">
        <v>1401</v>
      </c>
      <c r="O296" s="1" t="s">
        <v>1402</v>
      </c>
      <c r="P296" s="1" t="s">
        <v>1403</v>
      </c>
      <c r="Q296" s="1" t="s">
        <v>39</v>
      </c>
      <c r="R296" s="1" t="s">
        <v>1399</v>
      </c>
    </row>
    <row r="297">
      <c r="A297" s="1" t="s">
        <v>1394</v>
      </c>
      <c r="C297" s="1" t="s">
        <v>2572</v>
      </c>
      <c r="D297" s="15" t="s">
        <v>2928</v>
      </c>
      <c r="E297" s="1" t="s">
        <v>1026</v>
      </c>
      <c r="F297" s="15" t="s">
        <v>1410</v>
      </c>
      <c r="G297" s="1" t="s">
        <v>1411</v>
      </c>
      <c r="H297" s="1" t="s">
        <v>39</v>
      </c>
      <c r="I297" s="1" t="s">
        <v>1399</v>
      </c>
      <c r="J297" s="81">
        <v>3.0</v>
      </c>
      <c r="K297" s="39"/>
      <c r="L297" s="1" t="s">
        <v>1404</v>
      </c>
      <c r="M297" s="1" t="s">
        <v>1405</v>
      </c>
      <c r="N297" s="1" t="s">
        <v>503</v>
      </c>
      <c r="O297" s="1" t="s">
        <v>1406</v>
      </c>
      <c r="P297" s="1" t="s">
        <v>1407</v>
      </c>
      <c r="Q297" s="1" t="s">
        <v>54</v>
      </c>
      <c r="R297" s="1" t="s">
        <v>1399</v>
      </c>
    </row>
    <row r="298">
      <c r="A298" s="1" t="s">
        <v>1394</v>
      </c>
      <c r="C298" s="1" t="s">
        <v>2572</v>
      </c>
      <c r="D298" s="15" t="s">
        <v>1418</v>
      </c>
      <c r="E298" s="1" t="s">
        <v>1026</v>
      </c>
      <c r="F298" s="15" t="s">
        <v>2929</v>
      </c>
      <c r="G298" s="1" t="s">
        <v>2930</v>
      </c>
      <c r="H298" s="1" t="s">
        <v>39</v>
      </c>
      <c r="I298" s="1" t="s">
        <v>1399</v>
      </c>
      <c r="J298" s="80">
        <v>4.0</v>
      </c>
      <c r="K298" s="39"/>
      <c r="L298" s="1" t="s">
        <v>1408</v>
      </c>
      <c r="M298" s="1" t="s">
        <v>1409</v>
      </c>
      <c r="N298" s="1" t="s">
        <v>1026</v>
      </c>
      <c r="O298" s="1" t="s">
        <v>1410</v>
      </c>
      <c r="P298" s="1" t="s">
        <v>1411</v>
      </c>
      <c r="Q298" s="1" t="s">
        <v>39</v>
      </c>
      <c r="R298" s="1" t="s">
        <v>1399</v>
      </c>
    </row>
    <row r="299">
      <c r="A299" s="1" t="s">
        <v>1394</v>
      </c>
      <c r="C299" s="1" t="s">
        <v>2572</v>
      </c>
      <c r="D299" s="15" t="s">
        <v>1418</v>
      </c>
      <c r="E299" s="1" t="s">
        <v>1026</v>
      </c>
      <c r="F299" s="15" t="s">
        <v>1419</v>
      </c>
      <c r="G299" s="1" t="s">
        <v>1420</v>
      </c>
      <c r="H299" s="1" t="s">
        <v>39</v>
      </c>
      <c r="I299" s="1" t="s">
        <v>1399</v>
      </c>
      <c r="J299" s="74">
        <v>5.0</v>
      </c>
      <c r="K299" s="39"/>
      <c r="L299" s="1">
        <v>12.0</v>
      </c>
      <c r="M299" s="1" t="s">
        <v>1412</v>
      </c>
      <c r="N299" s="1" t="s">
        <v>1401</v>
      </c>
      <c r="O299" s="1" t="s">
        <v>1413</v>
      </c>
      <c r="P299" s="1" t="s">
        <v>1414</v>
      </c>
      <c r="Q299" s="1" t="s">
        <v>54</v>
      </c>
      <c r="R299" s="1" t="s">
        <v>1399</v>
      </c>
    </row>
    <row r="300">
      <c r="A300" s="1" t="s">
        <v>1394</v>
      </c>
      <c r="C300" s="1" t="s">
        <v>2572</v>
      </c>
      <c r="D300" s="15" t="s">
        <v>1418</v>
      </c>
      <c r="E300" s="1" t="s">
        <v>1026</v>
      </c>
      <c r="F300" s="15" t="s">
        <v>1421</v>
      </c>
      <c r="G300" s="1" t="s">
        <v>1422</v>
      </c>
      <c r="H300" s="1" t="s">
        <v>39</v>
      </c>
      <c r="I300" s="1" t="s">
        <v>1399</v>
      </c>
      <c r="J300" s="116">
        <v>6.0</v>
      </c>
      <c r="K300" s="39"/>
      <c r="L300" s="1" t="s">
        <v>1415</v>
      </c>
      <c r="M300" s="1" t="s">
        <v>1412</v>
      </c>
      <c r="N300" s="1" t="s">
        <v>1401</v>
      </c>
      <c r="O300" s="1" t="s">
        <v>1416</v>
      </c>
      <c r="P300" s="1" t="s">
        <v>1417</v>
      </c>
      <c r="Q300" s="1" t="s">
        <v>54</v>
      </c>
      <c r="R300" s="1" t="s">
        <v>1399</v>
      </c>
    </row>
    <row r="301">
      <c r="A301" s="1" t="s">
        <v>1394</v>
      </c>
      <c r="C301" s="1" t="s">
        <v>2384</v>
      </c>
      <c r="D301" s="15" t="s">
        <v>2931</v>
      </c>
      <c r="E301" s="1" t="s">
        <v>1401</v>
      </c>
      <c r="F301" s="15" t="s">
        <v>2932</v>
      </c>
      <c r="G301" s="1" t="s">
        <v>1417</v>
      </c>
      <c r="H301" s="1" t="s">
        <v>54</v>
      </c>
      <c r="I301" s="1" t="s">
        <v>2933</v>
      </c>
      <c r="J301" s="83">
        <v>7.0</v>
      </c>
      <c r="K301" s="39"/>
      <c r="L301" s="1">
        <v>5.0</v>
      </c>
      <c r="M301" s="1" t="s">
        <v>1418</v>
      </c>
      <c r="N301" s="1" t="s">
        <v>1026</v>
      </c>
      <c r="O301" s="1" t="s">
        <v>1419</v>
      </c>
      <c r="P301" s="1" t="s">
        <v>1420</v>
      </c>
      <c r="Q301" s="1" t="s">
        <v>39</v>
      </c>
      <c r="R301" s="1" t="s">
        <v>1399</v>
      </c>
    </row>
    <row r="302">
      <c r="A302" s="1" t="s">
        <v>1394</v>
      </c>
      <c r="C302" s="1" t="s">
        <v>2384</v>
      </c>
      <c r="D302" s="15" t="s">
        <v>1400</v>
      </c>
      <c r="E302" s="1" t="s">
        <v>1401</v>
      </c>
      <c r="F302" s="15" t="s">
        <v>2934</v>
      </c>
      <c r="G302" s="1" t="s">
        <v>2935</v>
      </c>
      <c r="H302" s="1" t="s">
        <v>2388</v>
      </c>
      <c r="I302" s="1" t="s">
        <v>1399</v>
      </c>
      <c r="J302" s="91">
        <v>8.0</v>
      </c>
      <c r="K302" s="39"/>
      <c r="L302" s="1">
        <v>6.0</v>
      </c>
      <c r="M302" s="1" t="s">
        <v>1418</v>
      </c>
      <c r="N302" s="1" t="s">
        <v>1026</v>
      </c>
      <c r="O302" s="1" t="s">
        <v>1421</v>
      </c>
      <c r="P302" s="1" t="s">
        <v>1422</v>
      </c>
      <c r="Q302" s="1" t="s">
        <v>39</v>
      </c>
      <c r="R302" s="1" t="s">
        <v>1399</v>
      </c>
    </row>
    <row r="303">
      <c r="A303" s="1" t="s">
        <v>1394</v>
      </c>
      <c r="C303" s="1" t="s">
        <v>2384</v>
      </c>
      <c r="D303" s="15" t="s">
        <v>1400</v>
      </c>
      <c r="E303" s="1" t="s">
        <v>1401</v>
      </c>
      <c r="F303" s="15" t="s">
        <v>1402</v>
      </c>
      <c r="G303" s="1" t="s">
        <v>2936</v>
      </c>
      <c r="H303" s="1" t="s">
        <v>39</v>
      </c>
      <c r="I303" s="1" t="s">
        <v>1399</v>
      </c>
      <c r="J303" s="103">
        <v>9.0</v>
      </c>
      <c r="K303" s="39"/>
    </row>
    <row r="304">
      <c r="A304" s="1" t="s">
        <v>1394</v>
      </c>
      <c r="C304" s="1" t="s">
        <v>2384</v>
      </c>
      <c r="D304" s="15" t="s">
        <v>2937</v>
      </c>
      <c r="E304" s="1" t="s">
        <v>1401</v>
      </c>
      <c r="F304" s="15" t="s">
        <v>2938</v>
      </c>
      <c r="G304" s="1" t="s">
        <v>2939</v>
      </c>
      <c r="H304" s="1" t="s">
        <v>2388</v>
      </c>
      <c r="I304" s="1" t="s">
        <v>1399</v>
      </c>
      <c r="J304" s="83">
        <v>10.0</v>
      </c>
      <c r="K304" s="39"/>
    </row>
    <row r="305">
      <c r="A305" s="1" t="s">
        <v>1394</v>
      </c>
      <c r="C305" s="1" t="s">
        <v>2384</v>
      </c>
      <c r="D305" s="15" t="s">
        <v>1412</v>
      </c>
      <c r="E305" s="1" t="s">
        <v>1401</v>
      </c>
      <c r="F305" s="15" t="s">
        <v>1416</v>
      </c>
      <c r="G305" s="1" t="s">
        <v>1417</v>
      </c>
      <c r="H305" s="1" t="s">
        <v>54</v>
      </c>
      <c r="I305" s="1" t="s">
        <v>2933</v>
      </c>
      <c r="J305" s="80">
        <v>11.0</v>
      </c>
      <c r="K305" s="39"/>
    </row>
    <row r="306">
      <c r="A306" s="1" t="s">
        <v>1394</v>
      </c>
      <c r="C306" s="1" t="s">
        <v>2384</v>
      </c>
      <c r="D306" s="15" t="s">
        <v>1412</v>
      </c>
      <c r="E306" s="1" t="s">
        <v>1401</v>
      </c>
      <c r="F306" s="15" t="s">
        <v>2940</v>
      </c>
      <c r="G306" s="1" t="s">
        <v>1417</v>
      </c>
      <c r="H306" s="1" t="s">
        <v>54</v>
      </c>
      <c r="I306" s="1" t="s">
        <v>2933</v>
      </c>
      <c r="J306" s="81">
        <v>12.0</v>
      </c>
      <c r="K306" s="39"/>
    </row>
    <row r="307">
      <c r="A307" s="69"/>
      <c r="B307" s="67"/>
      <c r="C307" s="67"/>
      <c r="D307" s="96"/>
      <c r="E307" s="67"/>
      <c r="F307" s="96"/>
      <c r="G307" s="67"/>
      <c r="H307" s="67"/>
      <c r="I307" s="67"/>
      <c r="J307" s="67"/>
      <c r="K307" s="67"/>
      <c r="L307" s="67"/>
      <c r="M307" s="67"/>
      <c r="N307" s="67"/>
      <c r="O307" s="67"/>
      <c r="P307" s="67"/>
      <c r="Q307" s="67"/>
      <c r="R307" s="67"/>
      <c r="S307" s="67"/>
      <c r="T307" s="67"/>
      <c r="U307" s="67"/>
      <c r="V307" s="67"/>
      <c r="W307" s="67"/>
      <c r="X307" s="67"/>
      <c r="Y307" s="67"/>
      <c r="Z307" s="67"/>
      <c r="AA307" s="67"/>
      <c r="AB307" s="67"/>
      <c r="AC307" s="67"/>
      <c r="AD307" s="67"/>
      <c r="AE307" s="67"/>
    </row>
    <row r="308">
      <c r="A308" s="1" t="s">
        <v>1423</v>
      </c>
      <c r="C308" s="1" t="s">
        <v>2572</v>
      </c>
      <c r="D308" s="15" t="s">
        <v>2941</v>
      </c>
      <c r="E308" s="1" t="s">
        <v>2942</v>
      </c>
      <c r="F308" s="15" t="s">
        <v>2943</v>
      </c>
      <c r="H308" s="1" t="s">
        <v>14</v>
      </c>
      <c r="I308" s="1" t="s">
        <v>289</v>
      </c>
      <c r="J308" s="91">
        <v>1.0</v>
      </c>
      <c r="K308" s="39"/>
      <c r="L308" s="1" t="s">
        <v>1424</v>
      </c>
      <c r="M308" s="56" t="s">
        <v>1425</v>
      </c>
      <c r="N308" s="56" t="s">
        <v>1426</v>
      </c>
      <c r="O308" s="56" t="s">
        <v>1427</v>
      </c>
      <c r="P308" s="56" t="s">
        <v>1428</v>
      </c>
      <c r="Q308" s="1" t="s">
        <v>14</v>
      </c>
      <c r="R308" s="1" t="s">
        <v>289</v>
      </c>
    </row>
    <row r="309">
      <c r="A309" s="1" t="s">
        <v>1423</v>
      </c>
      <c r="C309" s="1" t="s">
        <v>2572</v>
      </c>
      <c r="D309" s="15" t="s">
        <v>2941</v>
      </c>
      <c r="E309" s="1" t="s">
        <v>2942</v>
      </c>
      <c r="F309" s="15" t="s">
        <v>2944</v>
      </c>
      <c r="H309" s="1" t="s">
        <v>14</v>
      </c>
      <c r="I309" s="1" t="s">
        <v>289</v>
      </c>
      <c r="J309" s="91">
        <v>2.0</v>
      </c>
      <c r="K309" s="39"/>
      <c r="L309" s="1" t="s">
        <v>1429</v>
      </c>
      <c r="M309" s="56" t="s">
        <v>1430</v>
      </c>
      <c r="N309" s="56" t="s">
        <v>1431</v>
      </c>
      <c r="O309" s="56" t="s">
        <v>1432</v>
      </c>
      <c r="P309" s="56" t="s">
        <v>1433</v>
      </c>
      <c r="Q309" s="1" t="s">
        <v>14</v>
      </c>
      <c r="R309" s="1" t="s">
        <v>289</v>
      </c>
    </row>
    <row r="310">
      <c r="A310" s="1" t="s">
        <v>1423</v>
      </c>
      <c r="C310" s="1" t="s">
        <v>2572</v>
      </c>
      <c r="D310" s="15" t="s">
        <v>2945</v>
      </c>
      <c r="E310" s="1" t="s">
        <v>1003</v>
      </c>
      <c r="F310" s="15" t="s">
        <v>2946</v>
      </c>
      <c r="G310" s="1" t="s">
        <v>2947</v>
      </c>
      <c r="H310" s="1" t="s">
        <v>14</v>
      </c>
      <c r="I310" s="1" t="s">
        <v>289</v>
      </c>
      <c r="J310" s="80">
        <v>3.0</v>
      </c>
      <c r="K310" s="39"/>
      <c r="L310" s="1" t="s">
        <v>994</v>
      </c>
      <c r="M310" s="56" t="s">
        <v>1430</v>
      </c>
      <c r="N310" s="56" t="s">
        <v>1434</v>
      </c>
      <c r="O310" s="56" t="s">
        <v>1435</v>
      </c>
      <c r="P310" s="1" t="s">
        <v>2948</v>
      </c>
      <c r="Q310" s="1" t="s">
        <v>14</v>
      </c>
      <c r="R310" s="1" t="s">
        <v>289</v>
      </c>
    </row>
    <row r="311">
      <c r="A311" s="1" t="s">
        <v>1423</v>
      </c>
      <c r="C311" s="1" t="s">
        <v>2572</v>
      </c>
      <c r="D311" s="15" t="s">
        <v>2945</v>
      </c>
      <c r="E311" s="1" t="s">
        <v>1003</v>
      </c>
      <c r="F311" s="15" t="s">
        <v>2949</v>
      </c>
      <c r="G311" s="1" t="s">
        <v>2948</v>
      </c>
      <c r="H311" s="1" t="s">
        <v>14</v>
      </c>
      <c r="I311" s="1" t="s">
        <v>289</v>
      </c>
      <c r="J311" s="73">
        <v>4.0</v>
      </c>
      <c r="K311" s="39"/>
      <c r="L311" s="1">
        <v>5.0</v>
      </c>
      <c r="M311" s="1" t="s">
        <v>1438</v>
      </c>
      <c r="N311" s="1" t="s">
        <v>1003</v>
      </c>
      <c r="O311" s="1" t="s">
        <v>2950</v>
      </c>
      <c r="P311" s="1" t="s">
        <v>2951</v>
      </c>
      <c r="Q311" s="1" t="s">
        <v>54</v>
      </c>
      <c r="R311" s="1" t="s">
        <v>289</v>
      </c>
    </row>
    <row r="312">
      <c r="A312" s="1" t="s">
        <v>1423</v>
      </c>
      <c r="C312" s="1" t="s">
        <v>2572</v>
      </c>
      <c r="D312" s="15" t="s">
        <v>2945</v>
      </c>
      <c r="E312" s="1" t="s">
        <v>1003</v>
      </c>
      <c r="F312" s="15" t="s">
        <v>2950</v>
      </c>
      <c r="G312" s="1" t="s">
        <v>2951</v>
      </c>
      <c r="H312" s="1" t="s">
        <v>54</v>
      </c>
      <c r="I312" s="1" t="s">
        <v>289</v>
      </c>
      <c r="J312" s="77">
        <v>5.0</v>
      </c>
      <c r="K312" s="39"/>
      <c r="L312" s="1">
        <v>16.0</v>
      </c>
      <c r="M312" s="56" t="s">
        <v>1430</v>
      </c>
      <c r="N312" s="56" t="s">
        <v>1443</v>
      </c>
      <c r="O312" s="56" t="s">
        <v>2952</v>
      </c>
      <c r="P312" s="56" t="s">
        <v>2953</v>
      </c>
      <c r="Q312" s="1" t="s">
        <v>54</v>
      </c>
      <c r="R312" s="1" t="s">
        <v>289</v>
      </c>
    </row>
    <row r="313">
      <c r="A313" s="1" t="s">
        <v>1423</v>
      </c>
      <c r="C313" s="1" t="s">
        <v>2572</v>
      </c>
      <c r="D313" s="15" t="s">
        <v>2954</v>
      </c>
      <c r="E313" s="1" t="s">
        <v>2955</v>
      </c>
      <c r="F313" s="15" t="s">
        <v>1444</v>
      </c>
      <c r="G313" s="1" t="s">
        <v>2956</v>
      </c>
      <c r="H313" s="1" t="s">
        <v>54</v>
      </c>
      <c r="I313" s="1" t="s">
        <v>289</v>
      </c>
      <c r="J313" s="117">
        <v>6.0</v>
      </c>
      <c r="K313" s="39"/>
      <c r="L313" s="1" t="s">
        <v>1441</v>
      </c>
      <c r="M313" s="56" t="s">
        <v>1442</v>
      </c>
      <c r="N313" s="56" t="s">
        <v>1443</v>
      </c>
      <c r="O313" s="56" t="s">
        <v>1444</v>
      </c>
      <c r="P313" s="56" t="s">
        <v>1445</v>
      </c>
      <c r="Q313" s="1" t="s">
        <v>54</v>
      </c>
      <c r="R313" s="1" t="s">
        <v>289</v>
      </c>
    </row>
    <row r="314">
      <c r="A314" s="1" t="s">
        <v>1423</v>
      </c>
      <c r="C314" s="1" t="s">
        <v>2572</v>
      </c>
      <c r="D314" s="15" t="s">
        <v>1447</v>
      </c>
      <c r="E314" s="1" t="s">
        <v>33</v>
      </c>
      <c r="F314" s="15" t="s">
        <v>2957</v>
      </c>
      <c r="G314" s="1" t="s">
        <v>2958</v>
      </c>
      <c r="H314" s="1" t="s">
        <v>44</v>
      </c>
      <c r="I314" s="1" t="s">
        <v>289</v>
      </c>
      <c r="J314" s="86">
        <v>7.0</v>
      </c>
      <c r="K314" s="39"/>
      <c r="L314" s="1">
        <v>18.0</v>
      </c>
      <c r="M314" s="56" t="s">
        <v>2959</v>
      </c>
      <c r="N314" s="56" t="s">
        <v>2518</v>
      </c>
      <c r="O314" s="56" t="s">
        <v>2960</v>
      </c>
      <c r="P314" s="56" t="s">
        <v>1455</v>
      </c>
      <c r="Q314" s="1" t="s">
        <v>39</v>
      </c>
      <c r="R314" s="1" t="s">
        <v>289</v>
      </c>
    </row>
    <row r="315">
      <c r="A315" s="1" t="s">
        <v>1423</v>
      </c>
      <c r="C315" s="1" t="s">
        <v>2572</v>
      </c>
      <c r="D315" s="15" t="s">
        <v>1450</v>
      </c>
      <c r="E315" s="1" t="s">
        <v>748</v>
      </c>
      <c r="F315" s="15" t="s">
        <v>1451</v>
      </c>
      <c r="H315" s="1" t="s">
        <v>39</v>
      </c>
      <c r="I315" s="1" t="s">
        <v>289</v>
      </c>
      <c r="J315" s="93">
        <v>8.0</v>
      </c>
      <c r="K315" s="39"/>
      <c r="L315" s="1" t="s">
        <v>1446</v>
      </c>
      <c r="M315" s="1" t="s">
        <v>1447</v>
      </c>
      <c r="N315" s="1" t="s">
        <v>33</v>
      </c>
      <c r="O315" s="1" t="s">
        <v>1448</v>
      </c>
      <c r="P315" s="1" t="s">
        <v>2961</v>
      </c>
      <c r="Q315" s="1" t="s">
        <v>44</v>
      </c>
      <c r="R315" s="1" t="s">
        <v>289</v>
      </c>
    </row>
    <row r="316">
      <c r="A316" s="1" t="s">
        <v>1423</v>
      </c>
      <c r="C316" s="1" t="s">
        <v>2572</v>
      </c>
      <c r="D316" s="15" t="s">
        <v>2962</v>
      </c>
      <c r="E316" s="1" t="s">
        <v>748</v>
      </c>
      <c r="F316" s="15" t="s">
        <v>2963</v>
      </c>
      <c r="G316" s="1" t="s">
        <v>2624</v>
      </c>
      <c r="H316" s="1" t="s">
        <v>39</v>
      </c>
      <c r="I316" s="1" t="s">
        <v>289</v>
      </c>
      <c r="J316" s="107">
        <v>9.0</v>
      </c>
      <c r="K316" s="39"/>
      <c r="L316" s="1">
        <v>8.0</v>
      </c>
      <c r="M316" s="1" t="s">
        <v>1450</v>
      </c>
      <c r="N316" s="1" t="s">
        <v>748</v>
      </c>
      <c r="O316" s="1" t="s">
        <v>1451</v>
      </c>
      <c r="Q316" s="1" t="s">
        <v>39</v>
      </c>
      <c r="R316" s="1" t="s">
        <v>289</v>
      </c>
    </row>
    <row r="317">
      <c r="A317" s="1" t="s">
        <v>1423</v>
      </c>
      <c r="C317" s="1" t="s">
        <v>2572</v>
      </c>
      <c r="D317" s="15" t="s">
        <v>2964</v>
      </c>
      <c r="E317" s="1" t="s">
        <v>748</v>
      </c>
      <c r="F317" s="15" t="s">
        <v>2965</v>
      </c>
      <c r="H317" s="1" t="s">
        <v>39</v>
      </c>
      <c r="I317" s="1" t="s">
        <v>289</v>
      </c>
      <c r="J317" s="116">
        <v>10.0</v>
      </c>
      <c r="K317" s="39"/>
      <c r="L317" s="1" t="s">
        <v>2966</v>
      </c>
      <c r="M317" s="56" t="s">
        <v>2967</v>
      </c>
      <c r="N317" s="1" t="s">
        <v>748</v>
      </c>
      <c r="O317" s="56" t="s">
        <v>2968</v>
      </c>
      <c r="P317" s="56" t="s">
        <v>1455</v>
      </c>
      <c r="Q317" s="1" t="s">
        <v>39</v>
      </c>
      <c r="R317" s="1" t="s">
        <v>289</v>
      </c>
    </row>
    <row r="318">
      <c r="A318" s="1" t="s">
        <v>1423</v>
      </c>
      <c r="C318" s="1" t="s">
        <v>2572</v>
      </c>
      <c r="D318" s="15" t="s">
        <v>1460</v>
      </c>
      <c r="E318" s="1" t="s">
        <v>748</v>
      </c>
      <c r="F318" s="15" t="s">
        <v>2969</v>
      </c>
      <c r="H318" s="1" t="s">
        <v>39</v>
      </c>
      <c r="I318" s="1" t="s">
        <v>289</v>
      </c>
      <c r="J318" s="85">
        <v>11.0</v>
      </c>
      <c r="K318" s="39"/>
      <c r="L318" s="1" t="s">
        <v>2970</v>
      </c>
      <c r="M318" s="56" t="s">
        <v>1453</v>
      </c>
      <c r="N318" s="1" t="s">
        <v>748</v>
      </c>
      <c r="O318" s="1" t="s">
        <v>2971</v>
      </c>
      <c r="P318" s="56" t="s">
        <v>1455</v>
      </c>
      <c r="Q318" s="1" t="s">
        <v>39</v>
      </c>
      <c r="R318" s="1" t="s">
        <v>289</v>
      </c>
    </row>
    <row r="319">
      <c r="A319" s="1" t="s">
        <v>1423</v>
      </c>
      <c r="C319" s="1" t="s">
        <v>2572</v>
      </c>
      <c r="D319" s="15" t="s">
        <v>2972</v>
      </c>
      <c r="E319" s="1" t="s">
        <v>748</v>
      </c>
      <c r="F319" s="15" t="s">
        <v>2973</v>
      </c>
      <c r="G319" s="1" t="s">
        <v>2974</v>
      </c>
      <c r="H319" s="1" t="s">
        <v>39</v>
      </c>
      <c r="I319" s="1" t="s">
        <v>289</v>
      </c>
      <c r="J319" s="74">
        <v>12.0</v>
      </c>
      <c r="K319" s="39"/>
      <c r="L319" s="1">
        <v>21.0</v>
      </c>
      <c r="M319" s="56" t="s">
        <v>1456</v>
      </c>
      <c r="N319" s="59"/>
      <c r="O319" s="56" t="s">
        <v>1457</v>
      </c>
      <c r="P319" s="56" t="s">
        <v>1458</v>
      </c>
      <c r="Q319" s="1" t="s">
        <v>39</v>
      </c>
      <c r="R319" s="1" t="s">
        <v>289</v>
      </c>
    </row>
    <row r="320">
      <c r="A320" s="1" t="s">
        <v>1423</v>
      </c>
      <c r="C320" s="1" t="s">
        <v>2346</v>
      </c>
      <c r="D320" s="118" t="s">
        <v>1425</v>
      </c>
      <c r="E320" s="56" t="s">
        <v>1426</v>
      </c>
      <c r="F320" s="118" t="s">
        <v>2975</v>
      </c>
      <c r="G320" s="56" t="s">
        <v>1428</v>
      </c>
      <c r="H320" s="1" t="s">
        <v>14</v>
      </c>
      <c r="I320" s="1" t="s">
        <v>289</v>
      </c>
      <c r="J320" s="91">
        <v>13.0</v>
      </c>
      <c r="K320" s="39"/>
      <c r="L320" s="1" t="s">
        <v>1459</v>
      </c>
      <c r="M320" s="1" t="s">
        <v>1460</v>
      </c>
      <c r="N320" s="1" t="s">
        <v>748</v>
      </c>
      <c r="O320" s="1" t="s">
        <v>1461</v>
      </c>
      <c r="P320" s="1" t="s">
        <v>716</v>
      </c>
      <c r="Q320" s="1" t="s">
        <v>39</v>
      </c>
      <c r="R320" s="1" t="s">
        <v>289</v>
      </c>
    </row>
    <row r="321">
      <c r="A321" s="1" t="s">
        <v>1423</v>
      </c>
      <c r="C321" s="1" t="s">
        <v>2346</v>
      </c>
      <c r="D321" s="118" t="s">
        <v>1430</v>
      </c>
      <c r="E321" s="56" t="s">
        <v>1431</v>
      </c>
      <c r="F321" s="118" t="s">
        <v>2976</v>
      </c>
      <c r="G321" s="56" t="s">
        <v>2977</v>
      </c>
      <c r="H321" s="1" t="s">
        <v>14</v>
      </c>
      <c r="I321" s="1" t="s">
        <v>289</v>
      </c>
      <c r="J321" s="80">
        <v>14.0</v>
      </c>
      <c r="K321" s="39"/>
      <c r="L321" s="1" t="s">
        <v>1462</v>
      </c>
      <c r="M321" s="56" t="s">
        <v>1463</v>
      </c>
      <c r="N321" s="1" t="s">
        <v>748</v>
      </c>
      <c r="O321" s="56" t="s">
        <v>1464</v>
      </c>
      <c r="P321" s="56" t="s">
        <v>1465</v>
      </c>
      <c r="Q321" s="1" t="s">
        <v>39</v>
      </c>
      <c r="R321" s="1" t="s">
        <v>289</v>
      </c>
    </row>
    <row r="322">
      <c r="A322" s="1" t="s">
        <v>1423</v>
      </c>
      <c r="C322" s="1" t="s">
        <v>2346</v>
      </c>
      <c r="D322" s="118" t="s">
        <v>1430</v>
      </c>
      <c r="E322" s="56" t="s">
        <v>1434</v>
      </c>
      <c r="F322" s="118" t="s">
        <v>1473</v>
      </c>
      <c r="G322" s="59"/>
      <c r="H322" s="1" t="s">
        <v>14</v>
      </c>
      <c r="I322" s="1" t="s">
        <v>289</v>
      </c>
      <c r="J322" s="73">
        <v>15.0</v>
      </c>
      <c r="K322" s="39"/>
      <c r="L322" s="1">
        <v>25.0</v>
      </c>
      <c r="M322" s="56" t="s">
        <v>1466</v>
      </c>
      <c r="N322" s="56" t="s">
        <v>1467</v>
      </c>
      <c r="O322" s="56" t="s">
        <v>1468</v>
      </c>
      <c r="P322" s="56" t="s">
        <v>1469</v>
      </c>
      <c r="Q322" s="1" t="s">
        <v>39</v>
      </c>
      <c r="R322" s="1" t="s">
        <v>289</v>
      </c>
    </row>
    <row r="323">
      <c r="A323" s="1" t="s">
        <v>1423</v>
      </c>
      <c r="C323" s="1" t="s">
        <v>2346</v>
      </c>
      <c r="D323" s="118" t="s">
        <v>1430</v>
      </c>
      <c r="E323" s="56" t="s">
        <v>1443</v>
      </c>
      <c r="F323" s="118" t="s">
        <v>2952</v>
      </c>
      <c r="G323" s="56" t="s">
        <v>2953</v>
      </c>
      <c r="H323" s="1" t="s">
        <v>54</v>
      </c>
      <c r="I323" s="1" t="s">
        <v>289</v>
      </c>
      <c r="J323" s="79">
        <v>16.0</v>
      </c>
      <c r="K323" s="39"/>
    </row>
    <row r="324">
      <c r="A324" s="1" t="s">
        <v>1423</v>
      </c>
      <c r="C324" s="1" t="s">
        <v>2346</v>
      </c>
      <c r="D324" s="118" t="s">
        <v>1442</v>
      </c>
      <c r="E324" s="56" t="s">
        <v>1443</v>
      </c>
      <c r="F324" s="118" t="s">
        <v>1444</v>
      </c>
      <c r="G324" s="56" t="s">
        <v>1445</v>
      </c>
      <c r="H324" s="1" t="s">
        <v>54</v>
      </c>
      <c r="I324" s="1" t="s">
        <v>289</v>
      </c>
      <c r="J324" s="117">
        <v>17.0</v>
      </c>
      <c r="K324" s="39"/>
    </row>
    <row r="325">
      <c r="A325" s="1" t="s">
        <v>1423</v>
      </c>
      <c r="C325" s="1" t="s">
        <v>2346</v>
      </c>
      <c r="D325" s="118" t="s">
        <v>2959</v>
      </c>
      <c r="E325" s="56" t="s">
        <v>2518</v>
      </c>
      <c r="F325" s="118" t="s">
        <v>2960</v>
      </c>
      <c r="G325" s="56" t="s">
        <v>1455</v>
      </c>
      <c r="H325" s="1" t="s">
        <v>39</v>
      </c>
      <c r="I325" s="1" t="s">
        <v>289</v>
      </c>
      <c r="J325" s="90">
        <v>18.0</v>
      </c>
      <c r="K325" s="39"/>
    </row>
    <row r="326">
      <c r="A326" s="1" t="s">
        <v>1423</v>
      </c>
      <c r="C326" s="1" t="s">
        <v>2346</v>
      </c>
      <c r="D326" s="118" t="s">
        <v>2967</v>
      </c>
      <c r="E326" s="59"/>
      <c r="F326" s="118" t="s">
        <v>2968</v>
      </c>
      <c r="G326" s="56" t="s">
        <v>1455</v>
      </c>
      <c r="H326" s="1" t="s">
        <v>39</v>
      </c>
      <c r="I326" s="1" t="s">
        <v>289</v>
      </c>
      <c r="J326" s="107">
        <v>19.0</v>
      </c>
      <c r="K326" s="39"/>
    </row>
    <row r="327">
      <c r="A327" s="1" t="s">
        <v>1423</v>
      </c>
      <c r="C327" s="1" t="s">
        <v>2346</v>
      </c>
      <c r="D327" s="118" t="s">
        <v>1453</v>
      </c>
      <c r="E327" s="59"/>
      <c r="F327" s="118" t="s">
        <v>2978</v>
      </c>
      <c r="G327" s="56" t="s">
        <v>1455</v>
      </c>
      <c r="H327" s="1" t="s">
        <v>39</v>
      </c>
      <c r="I327" s="1" t="s">
        <v>289</v>
      </c>
      <c r="J327" s="116">
        <v>20.0</v>
      </c>
      <c r="K327" s="39"/>
    </row>
    <row r="328">
      <c r="A328" s="1" t="s">
        <v>1423</v>
      </c>
      <c r="C328" s="1" t="s">
        <v>2346</v>
      </c>
      <c r="D328" s="118" t="s">
        <v>1456</v>
      </c>
      <c r="E328" s="59"/>
      <c r="F328" s="118" t="s">
        <v>1457</v>
      </c>
      <c r="G328" s="56" t="s">
        <v>1458</v>
      </c>
      <c r="H328" s="1" t="s">
        <v>39</v>
      </c>
      <c r="I328" s="1" t="s">
        <v>289</v>
      </c>
      <c r="J328" s="103">
        <v>21.0</v>
      </c>
      <c r="K328" s="39"/>
    </row>
    <row r="329">
      <c r="A329" s="1" t="s">
        <v>1423</v>
      </c>
      <c r="C329" s="1" t="s">
        <v>2346</v>
      </c>
      <c r="D329" s="118" t="s">
        <v>2979</v>
      </c>
      <c r="E329" s="56" t="s">
        <v>2980</v>
      </c>
      <c r="F329" s="118" t="s">
        <v>2981</v>
      </c>
      <c r="G329" s="56" t="s">
        <v>716</v>
      </c>
      <c r="H329" s="1" t="s">
        <v>39</v>
      </c>
      <c r="I329" s="1" t="s">
        <v>289</v>
      </c>
      <c r="J329" s="85">
        <v>22.0</v>
      </c>
      <c r="K329" s="39"/>
    </row>
    <row r="330">
      <c r="A330" s="1" t="s">
        <v>1423</v>
      </c>
      <c r="C330" s="1" t="s">
        <v>2346</v>
      </c>
      <c r="D330" s="118" t="s">
        <v>1463</v>
      </c>
      <c r="E330" s="59"/>
      <c r="F330" s="118" t="s">
        <v>2982</v>
      </c>
      <c r="G330" s="56" t="s">
        <v>2983</v>
      </c>
      <c r="H330" s="1" t="s">
        <v>44</v>
      </c>
      <c r="I330" s="1" t="s">
        <v>289</v>
      </c>
      <c r="J330" s="86">
        <v>23.0</v>
      </c>
      <c r="K330" s="39"/>
    </row>
    <row r="331">
      <c r="A331" s="1" t="s">
        <v>1423</v>
      </c>
      <c r="C331" s="1" t="s">
        <v>2346</v>
      </c>
      <c r="D331" s="118" t="s">
        <v>1463</v>
      </c>
      <c r="E331" s="59"/>
      <c r="F331" s="118" t="s">
        <v>1464</v>
      </c>
      <c r="G331" s="56" t="s">
        <v>1996</v>
      </c>
      <c r="H331" s="1" t="s">
        <v>39</v>
      </c>
      <c r="I331" s="1" t="s">
        <v>289</v>
      </c>
      <c r="J331" s="74">
        <v>24.0</v>
      </c>
      <c r="K331" s="39"/>
    </row>
    <row r="332">
      <c r="A332" s="1" t="s">
        <v>1423</v>
      </c>
      <c r="C332" s="1" t="s">
        <v>2346</v>
      </c>
      <c r="D332" s="118" t="s">
        <v>1466</v>
      </c>
      <c r="E332" s="56" t="s">
        <v>1467</v>
      </c>
      <c r="F332" s="118" t="s">
        <v>1468</v>
      </c>
      <c r="G332" s="56" t="s">
        <v>1469</v>
      </c>
      <c r="H332" s="1" t="s">
        <v>39</v>
      </c>
      <c r="I332" s="1" t="s">
        <v>289</v>
      </c>
      <c r="J332" s="108">
        <v>25.0</v>
      </c>
      <c r="K332" s="39"/>
    </row>
    <row r="333">
      <c r="A333" s="69"/>
      <c r="B333" s="67"/>
      <c r="C333" s="67"/>
      <c r="D333" s="96"/>
      <c r="E333" s="67"/>
      <c r="F333" s="96"/>
      <c r="G333" s="67"/>
      <c r="H333" s="67"/>
      <c r="I333" s="67"/>
      <c r="J333" s="67"/>
      <c r="K333" s="67"/>
      <c r="L333" s="67"/>
      <c r="M333" s="67"/>
      <c r="N333" s="67"/>
      <c r="O333" s="67"/>
      <c r="P333" s="67"/>
      <c r="Q333" s="67"/>
      <c r="R333" s="67"/>
      <c r="S333" s="67"/>
      <c r="T333" s="67"/>
      <c r="U333" s="67"/>
      <c r="V333" s="67"/>
      <c r="W333" s="67"/>
      <c r="X333" s="67"/>
      <c r="Y333" s="67"/>
      <c r="Z333" s="67"/>
      <c r="AA333" s="67"/>
      <c r="AB333" s="67"/>
      <c r="AC333" s="67"/>
      <c r="AD333" s="67"/>
      <c r="AE333" s="67"/>
    </row>
    <row r="334">
      <c r="A334" s="1" t="s">
        <v>1470</v>
      </c>
      <c r="C334" s="1" t="s">
        <v>2346</v>
      </c>
      <c r="D334" s="118" t="s">
        <v>1471</v>
      </c>
      <c r="E334" s="56" t="s">
        <v>1472</v>
      </c>
      <c r="F334" s="118" t="s">
        <v>1473</v>
      </c>
      <c r="G334" s="56" t="s">
        <v>1474</v>
      </c>
      <c r="H334" s="1" t="s">
        <v>20</v>
      </c>
      <c r="I334" s="1" t="s">
        <v>1475</v>
      </c>
      <c r="J334" s="91">
        <v>1.0</v>
      </c>
      <c r="K334" s="39"/>
      <c r="L334" s="1">
        <v>1.0</v>
      </c>
      <c r="M334" s="56" t="s">
        <v>1471</v>
      </c>
      <c r="N334" s="56" t="s">
        <v>1472</v>
      </c>
      <c r="O334" s="56" t="s">
        <v>1473</v>
      </c>
      <c r="P334" s="56" t="s">
        <v>1474</v>
      </c>
      <c r="Q334" s="1" t="s">
        <v>20</v>
      </c>
      <c r="R334" s="1" t="s">
        <v>1475</v>
      </c>
    </row>
    <row r="335">
      <c r="A335" s="1" t="s">
        <v>1470</v>
      </c>
      <c r="C335" s="1" t="s">
        <v>2346</v>
      </c>
      <c r="D335" s="118" t="s">
        <v>1471</v>
      </c>
      <c r="E335" s="56" t="s">
        <v>1476</v>
      </c>
      <c r="F335" s="118" t="s">
        <v>1477</v>
      </c>
      <c r="G335" s="56" t="s">
        <v>1478</v>
      </c>
      <c r="H335" s="1" t="s">
        <v>20</v>
      </c>
      <c r="I335" s="1" t="s">
        <v>1475</v>
      </c>
      <c r="J335" s="79">
        <v>2.0</v>
      </c>
      <c r="K335" s="39"/>
      <c r="L335" s="1">
        <v>2.0</v>
      </c>
      <c r="M335" s="56" t="s">
        <v>1471</v>
      </c>
      <c r="N335" s="56" t="s">
        <v>1476</v>
      </c>
      <c r="O335" s="56" t="s">
        <v>1477</v>
      </c>
      <c r="P335" s="56" t="s">
        <v>1478</v>
      </c>
      <c r="Q335" s="1" t="s">
        <v>20</v>
      </c>
      <c r="R335" s="1" t="s">
        <v>1475</v>
      </c>
    </row>
    <row r="336">
      <c r="A336" s="1" t="s">
        <v>1470</v>
      </c>
      <c r="C336" s="1" t="s">
        <v>2346</v>
      </c>
      <c r="D336" s="118" t="s">
        <v>1479</v>
      </c>
      <c r="E336" s="56" t="s">
        <v>1481</v>
      </c>
      <c r="F336" s="118" t="s">
        <v>1482</v>
      </c>
      <c r="G336" s="56" t="s">
        <v>1483</v>
      </c>
      <c r="H336" s="1" t="s">
        <v>54</v>
      </c>
      <c r="I336" s="1" t="s">
        <v>1475</v>
      </c>
      <c r="J336" s="115">
        <v>3.0</v>
      </c>
      <c r="K336" s="39"/>
      <c r="L336" s="1">
        <v>10.0</v>
      </c>
      <c r="M336" s="56" t="s">
        <v>1479</v>
      </c>
      <c r="O336" s="1" t="s">
        <v>1480</v>
      </c>
      <c r="P336" s="1" t="s">
        <v>2984</v>
      </c>
      <c r="Q336" s="1" t="s">
        <v>54</v>
      </c>
      <c r="R336" s="81" t="s">
        <v>1475</v>
      </c>
    </row>
    <row r="337">
      <c r="A337" s="1" t="s">
        <v>1470</v>
      </c>
      <c r="C337" s="1" t="s">
        <v>2346</v>
      </c>
      <c r="D337" s="118" t="s">
        <v>1479</v>
      </c>
      <c r="E337" s="56" t="s">
        <v>1487</v>
      </c>
      <c r="F337" s="118" t="s">
        <v>1488</v>
      </c>
      <c r="G337" s="56" t="s">
        <v>1489</v>
      </c>
      <c r="H337" s="1" t="s">
        <v>54</v>
      </c>
      <c r="I337" s="1" t="s">
        <v>1475</v>
      </c>
      <c r="J337" s="81">
        <v>4.0</v>
      </c>
      <c r="K337" s="39"/>
      <c r="L337" s="1">
        <v>3.0</v>
      </c>
      <c r="M337" s="56" t="s">
        <v>1479</v>
      </c>
      <c r="N337" s="56" t="s">
        <v>1481</v>
      </c>
      <c r="O337" s="56" t="s">
        <v>1482</v>
      </c>
      <c r="P337" s="56" t="s">
        <v>1483</v>
      </c>
      <c r="Q337" s="1" t="s">
        <v>54</v>
      </c>
      <c r="R337" s="1" t="s">
        <v>1475</v>
      </c>
    </row>
    <row r="338">
      <c r="A338" s="1" t="s">
        <v>1470</v>
      </c>
      <c r="C338" s="1" t="s">
        <v>2346</v>
      </c>
      <c r="D338" s="118" t="s">
        <v>1479</v>
      </c>
      <c r="E338" s="56" t="s">
        <v>1487</v>
      </c>
      <c r="F338" s="118" t="s">
        <v>1490</v>
      </c>
      <c r="G338" s="56" t="s">
        <v>1489</v>
      </c>
      <c r="H338" s="1" t="s">
        <v>54</v>
      </c>
      <c r="I338" s="1" t="s">
        <v>1475</v>
      </c>
      <c r="J338" s="90">
        <v>5.0</v>
      </c>
      <c r="K338" s="39"/>
      <c r="L338" s="1" t="s">
        <v>1484</v>
      </c>
      <c r="M338" s="1" t="s">
        <v>1485</v>
      </c>
      <c r="O338" s="1" t="s">
        <v>1486</v>
      </c>
      <c r="P338" s="56" t="s">
        <v>716</v>
      </c>
      <c r="Q338" s="1" t="s">
        <v>39</v>
      </c>
      <c r="R338" s="81" t="s">
        <v>1475</v>
      </c>
    </row>
    <row r="339">
      <c r="A339" s="1" t="s">
        <v>1470</v>
      </c>
      <c r="C339" s="1" t="s">
        <v>2346</v>
      </c>
      <c r="D339" s="118" t="s">
        <v>1479</v>
      </c>
      <c r="E339" s="56" t="s">
        <v>1491</v>
      </c>
      <c r="F339" s="118" t="s">
        <v>1492</v>
      </c>
      <c r="G339" s="56" t="s">
        <v>1493</v>
      </c>
      <c r="H339" s="1" t="s">
        <v>39</v>
      </c>
      <c r="I339" s="1" t="s">
        <v>1475</v>
      </c>
      <c r="J339" s="73">
        <v>6.0</v>
      </c>
      <c r="K339" s="39"/>
      <c r="L339" s="1">
        <v>4.0</v>
      </c>
      <c r="M339" s="56" t="s">
        <v>1479</v>
      </c>
      <c r="N339" s="56" t="s">
        <v>1487</v>
      </c>
      <c r="O339" s="56" t="s">
        <v>1488</v>
      </c>
      <c r="P339" s="56" t="s">
        <v>1489</v>
      </c>
      <c r="Q339" s="1" t="s">
        <v>54</v>
      </c>
      <c r="R339" s="1" t="s">
        <v>1475</v>
      </c>
    </row>
    <row r="340">
      <c r="A340" s="1" t="s">
        <v>1470</v>
      </c>
      <c r="C340" s="1" t="s">
        <v>2346</v>
      </c>
      <c r="D340" s="118" t="s">
        <v>1485</v>
      </c>
      <c r="E340" s="56" t="s">
        <v>1491</v>
      </c>
      <c r="F340" s="118" t="s">
        <v>2985</v>
      </c>
      <c r="G340" s="56" t="s">
        <v>716</v>
      </c>
      <c r="H340" s="1" t="s">
        <v>54</v>
      </c>
      <c r="I340" s="1" t="s">
        <v>1475</v>
      </c>
      <c r="J340" s="77">
        <v>7.0</v>
      </c>
      <c r="K340" s="39"/>
      <c r="L340" s="1">
        <v>5.0</v>
      </c>
      <c r="M340" s="56" t="s">
        <v>1479</v>
      </c>
      <c r="N340" s="56" t="s">
        <v>1487</v>
      </c>
      <c r="O340" s="56" t="s">
        <v>1490</v>
      </c>
      <c r="P340" s="56" t="s">
        <v>1489</v>
      </c>
      <c r="Q340" s="1" t="s">
        <v>54</v>
      </c>
      <c r="R340" s="1" t="s">
        <v>1475</v>
      </c>
    </row>
    <row r="341">
      <c r="A341" s="1" t="s">
        <v>1470</v>
      </c>
      <c r="C341" s="1" t="s">
        <v>2346</v>
      </c>
      <c r="D341" s="118" t="s">
        <v>1485</v>
      </c>
      <c r="E341" s="56" t="s">
        <v>1491</v>
      </c>
      <c r="F341" s="118" t="s">
        <v>2986</v>
      </c>
      <c r="G341" s="56" t="s">
        <v>716</v>
      </c>
      <c r="H341" s="1" t="s">
        <v>54</v>
      </c>
      <c r="I341" s="1" t="s">
        <v>1475</v>
      </c>
      <c r="J341" s="77">
        <v>8.0</v>
      </c>
      <c r="K341" s="39"/>
      <c r="L341" s="1">
        <v>5.0</v>
      </c>
      <c r="M341" s="56" t="s">
        <v>1479</v>
      </c>
      <c r="N341" s="56" t="s">
        <v>1491</v>
      </c>
      <c r="O341" s="56" t="s">
        <v>1492</v>
      </c>
      <c r="P341" s="56" t="s">
        <v>1493</v>
      </c>
      <c r="Q341" s="1" t="s">
        <v>39</v>
      </c>
      <c r="R341" s="1" t="s">
        <v>1475</v>
      </c>
    </row>
    <row r="342">
      <c r="A342" s="1" t="s">
        <v>1470</v>
      </c>
      <c r="C342" s="1" t="s">
        <v>2346</v>
      </c>
      <c r="D342" s="118" t="s">
        <v>1485</v>
      </c>
      <c r="E342" s="56" t="s">
        <v>1491</v>
      </c>
      <c r="F342" s="118" t="s">
        <v>2987</v>
      </c>
      <c r="G342" s="56" t="s">
        <v>716</v>
      </c>
      <c r="H342" s="1" t="s">
        <v>54</v>
      </c>
      <c r="I342" s="1" t="s">
        <v>1475</v>
      </c>
      <c r="J342" s="77">
        <v>9.0</v>
      </c>
      <c r="K342" s="39"/>
    </row>
    <row r="343">
      <c r="A343" s="1" t="s">
        <v>1470</v>
      </c>
      <c r="C343" s="1" t="s">
        <v>2303</v>
      </c>
      <c r="D343" s="15" t="s">
        <v>1479</v>
      </c>
      <c r="F343" s="15" t="s">
        <v>1480</v>
      </c>
      <c r="G343" s="1" t="s">
        <v>2984</v>
      </c>
      <c r="H343" s="1" t="s">
        <v>54</v>
      </c>
      <c r="I343" s="1" t="s">
        <v>2988</v>
      </c>
      <c r="J343" s="115">
        <v>10.0</v>
      </c>
      <c r="K343" s="39"/>
    </row>
    <row r="344">
      <c r="A344" s="1" t="s">
        <v>1470</v>
      </c>
      <c r="C344" s="1" t="s">
        <v>2303</v>
      </c>
      <c r="D344" s="15" t="s">
        <v>1485</v>
      </c>
      <c r="F344" s="15" t="s">
        <v>2989</v>
      </c>
      <c r="H344" s="1" t="s">
        <v>39</v>
      </c>
      <c r="I344" s="1" t="s">
        <v>2988</v>
      </c>
      <c r="J344" s="77">
        <v>11.0</v>
      </c>
      <c r="K344" s="39"/>
    </row>
    <row r="345">
      <c r="A345" s="69"/>
      <c r="B345" s="67"/>
      <c r="C345" s="67"/>
      <c r="D345" s="96"/>
      <c r="E345" s="67"/>
      <c r="F345" s="96"/>
      <c r="G345" s="67"/>
      <c r="H345" s="67"/>
      <c r="I345" s="67"/>
      <c r="J345" s="67"/>
      <c r="K345" s="67"/>
      <c r="L345" s="67"/>
      <c r="M345" s="67"/>
      <c r="N345" s="67"/>
      <c r="O345" s="67"/>
      <c r="P345" s="67"/>
      <c r="Q345" s="67"/>
      <c r="R345" s="67"/>
      <c r="S345" s="67"/>
      <c r="T345" s="67"/>
      <c r="U345" s="67"/>
      <c r="V345" s="67"/>
      <c r="W345" s="67"/>
      <c r="X345" s="67"/>
      <c r="Y345" s="67"/>
      <c r="Z345" s="67"/>
      <c r="AA345" s="67"/>
      <c r="AB345" s="67"/>
      <c r="AC345" s="67"/>
      <c r="AD345" s="67"/>
      <c r="AE345" s="67"/>
    </row>
    <row r="346">
      <c r="A346" s="1" t="s">
        <v>1494</v>
      </c>
      <c r="C346" s="1" t="s">
        <v>2346</v>
      </c>
      <c r="D346" s="118" t="s">
        <v>1495</v>
      </c>
      <c r="E346" s="59"/>
      <c r="F346" s="118" t="s">
        <v>2990</v>
      </c>
      <c r="G346" s="56" t="s">
        <v>1497</v>
      </c>
      <c r="H346" s="1" t="s">
        <v>44</v>
      </c>
      <c r="I346" s="1" t="s">
        <v>1498</v>
      </c>
      <c r="J346" s="91">
        <v>1.0</v>
      </c>
      <c r="K346" s="39"/>
      <c r="L346" s="1">
        <v>1.0</v>
      </c>
      <c r="M346" s="56" t="s">
        <v>1495</v>
      </c>
      <c r="N346" s="59"/>
      <c r="O346" s="56" t="s">
        <v>2990</v>
      </c>
      <c r="P346" s="56" t="s">
        <v>1497</v>
      </c>
      <c r="Q346" s="1" t="s">
        <v>44</v>
      </c>
      <c r="R346" s="1" t="s">
        <v>1498</v>
      </c>
    </row>
    <row r="347">
      <c r="A347" s="1" t="s">
        <v>1494</v>
      </c>
      <c r="C347" s="89" t="s">
        <v>2346</v>
      </c>
      <c r="D347" s="119" t="s">
        <v>2991</v>
      </c>
      <c r="E347" s="120"/>
      <c r="F347" s="119" t="s">
        <v>2992</v>
      </c>
      <c r="G347" s="121" t="s">
        <v>2993</v>
      </c>
      <c r="H347" s="98"/>
      <c r="I347" s="89" t="s">
        <v>1498</v>
      </c>
      <c r="J347" s="89">
        <v>2.0</v>
      </c>
      <c r="K347" s="39"/>
      <c r="L347" s="1">
        <v>3.0</v>
      </c>
      <c r="M347" s="56" t="s">
        <v>1501</v>
      </c>
      <c r="N347" s="59"/>
      <c r="O347" s="56" t="s">
        <v>1502</v>
      </c>
      <c r="P347" s="56" t="s">
        <v>2994</v>
      </c>
      <c r="Q347" s="1" t="s">
        <v>54</v>
      </c>
      <c r="R347" s="1" t="s">
        <v>1498</v>
      </c>
    </row>
    <row r="348">
      <c r="A348" s="1" t="s">
        <v>1494</v>
      </c>
      <c r="C348" s="1" t="s">
        <v>2346</v>
      </c>
      <c r="D348" s="118" t="s">
        <v>1501</v>
      </c>
      <c r="E348" s="59"/>
      <c r="F348" s="118" t="s">
        <v>1502</v>
      </c>
      <c r="G348" s="56" t="s">
        <v>2994</v>
      </c>
      <c r="H348" s="1" t="s">
        <v>54</v>
      </c>
      <c r="I348" s="1" t="s">
        <v>1498</v>
      </c>
      <c r="J348" s="80">
        <v>3.0</v>
      </c>
      <c r="K348" s="39"/>
      <c r="L348" s="1">
        <v>4.0</v>
      </c>
      <c r="M348" s="56" t="s">
        <v>2995</v>
      </c>
      <c r="N348" s="59"/>
      <c r="O348" s="56" t="s">
        <v>2996</v>
      </c>
      <c r="P348" s="59"/>
      <c r="Q348" s="1" t="s">
        <v>54</v>
      </c>
      <c r="R348" s="1" t="s">
        <v>1498</v>
      </c>
    </row>
    <row r="349">
      <c r="A349" s="1" t="s">
        <v>1494</v>
      </c>
      <c r="C349" s="1" t="s">
        <v>2346</v>
      </c>
      <c r="D349" s="118" t="s">
        <v>2995</v>
      </c>
      <c r="E349" s="59"/>
      <c r="F349" s="118" t="s">
        <v>2996</v>
      </c>
      <c r="G349" s="59"/>
      <c r="H349" s="1" t="s">
        <v>54</v>
      </c>
      <c r="I349" s="1" t="s">
        <v>1498</v>
      </c>
      <c r="J349" s="92">
        <v>4.0</v>
      </c>
      <c r="K349" s="39"/>
      <c r="L349" s="1">
        <v>5.0</v>
      </c>
      <c r="M349" s="56" t="s">
        <v>1504</v>
      </c>
      <c r="N349" s="56" t="s">
        <v>2997</v>
      </c>
      <c r="O349" s="56" t="s">
        <v>1505</v>
      </c>
      <c r="P349" s="56" t="s">
        <v>2998</v>
      </c>
      <c r="Q349" s="1" t="s">
        <v>54</v>
      </c>
      <c r="R349" s="1" t="s">
        <v>1498</v>
      </c>
    </row>
    <row r="350">
      <c r="A350" s="1" t="s">
        <v>1494</v>
      </c>
      <c r="C350" s="17" t="s">
        <v>2346</v>
      </c>
      <c r="D350" s="118" t="s">
        <v>1504</v>
      </c>
      <c r="E350" s="56" t="s">
        <v>2997</v>
      </c>
      <c r="F350" s="118" t="s">
        <v>1505</v>
      </c>
      <c r="G350" s="56" t="s">
        <v>2998</v>
      </c>
      <c r="H350" s="1" t="s">
        <v>54</v>
      </c>
      <c r="I350" s="1" t="s">
        <v>1498</v>
      </c>
      <c r="J350" s="83">
        <v>5.0</v>
      </c>
      <c r="K350" s="39"/>
      <c r="L350" s="1">
        <v>6.0</v>
      </c>
      <c r="M350" s="56" t="s">
        <v>1507</v>
      </c>
      <c r="N350" s="56" t="s">
        <v>1508</v>
      </c>
      <c r="O350" s="56" t="s">
        <v>1509</v>
      </c>
      <c r="P350" s="56" t="s">
        <v>716</v>
      </c>
      <c r="Q350" s="1" t="s">
        <v>39</v>
      </c>
      <c r="R350" s="1" t="s">
        <v>1498</v>
      </c>
    </row>
    <row r="351">
      <c r="A351" s="1" t="s">
        <v>1494</v>
      </c>
      <c r="C351" s="17" t="s">
        <v>2346</v>
      </c>
      <c r="D351" s="118" t="s">
        <v>1507</v>
      </c>
      <c r="E351" s="56" t="s">
        <v>1508</v>
      </c>
      <c r="F351" s="118" t="s">
        <v>1509</v>
      </c>
      <c r="G351" s="56" t="s">
        <v>716</v>
      </c>
      <c r="H351" s="1" t="s">
        <v>39</v>
      </c>
      <c r="I351" s="1" t="s">
        <v>1498</v>
      </c>
      <c r="J351" s="91">
        <v>6.0</v>
      </c>
      <c r="K351" s="39"/>
      <c r="L351" s="1">
        <v>7.0</v>
      </c>
      <c r="M351" s="56" t="s">
        <v>1510</v>
      </c>
      <c r="N351" s="56" t="s">
        <v>1511</v>
      </c>
      <c r="O351" s="56" t="s">
        <v>1512</v>
      </c>
      <c r="P351" s="56" t="s">
        <v>1513</v>
      </c>
      <c r="Q351" s="1" t="s">
        <v>39</v>
      </c>
      <c r="R351" s="1" t="s">
        <v>1498</v>
      </c>
    </row>
    <row r="352">
      <c r="A352" s="1" t="s">
        <v>1494</v>
      </c>
      <c r="C352" s="17" t="s">
        <v>2346</v>
      </c>
      <c r="D352" s="118" t="s">
        <v>1510</v>
      </c>
      <c r="E352" s="56" t="s">
        <v>1511</v>
      </c>
      <c r="F352" s="118" t="s">
        <v>1512</v>
      </c>
      <c r="G352" s="56" t="s">
        <v>1513</v>
      </c>
      <c r="H352" s="1" t="s">
        <v>39</v>
      </c>
      <c r="I352" s="1" t="s">
        <v>1498</v>
      </c>
      <c r="J352" s="95">
        <v>7.0</v>
      </c>
      <c r="K352" s="39"/>
      <c r="L352" s="1" t="s">
        <v>1514</v>
      </c>
      <c r="M352" s="1" t="s">
        <v>1515</v>
      </c>
      <c r="N352" s="56" t="s">
        <v>1516</v>
      </c>
      <c r="O352" s="56" t="s">
        <v>2978</v>
      </c>
      <c r="P352" s="56" t="s">
        <v>1518</v>
      </c>
      <c r="Q352" s="1" t="s">
        <v>39</v>
      </c>
      <c r="R352" s="81" t="s">
        <v>1498</v>
      </c>
    </row>
    <row r="353">
      <c r="A353" s="1" t="s">
        <v>1494</v>
      </c>
      <c r="C353" s="22" t="s">
        <v>2346</v>
      </c>
      <c r="D353" s="118" t="s">
        <v>2999</v>
      </c>
      <c r="E353" s="56" t="s">
        <v>1516</v>
      </c>
      <c r="F353" s="118" t="s">
        <v>2978</v>
      </c>
      <c r="G353" s="56" t="s">
        <v>1518</v>
      </c>
      <c r="H353" s="1" t="s">
        <v>39</v>
      </c>
      <c r="I353" s="1" t="s">
        <v>1498</v>
      </c>
      <c r="J353" s="105">
        <v>8.0</v>
      </c>
      <c r="K353" s="39"/>
    </row>
    <row r="354">
      <c r="A354" s="1" t="s">
        <v>1494</v>
      </c>
      <c r="C354" s="89" t="s">
        <v>2303</v>
      </c>
      <c r="D354" s="97" t="s">
        <v>3000</v>
      </c>
      <c r="E354" s="98"/>
      <c r="F354" s="97" t="s">
        <v>3001</v>
      </c>
      <c r="G354" s="89" t="s">
        <v>3002</v>
      </c>
      <c r="H354" s="89" t="s">
        <v>39</v>
      </c>
      <c r="I354" s="89" t="s">
        <v>15</v>
      </c>
      <c r="J354" s="89">
        <v>9.0</v>
      </c>
      <c r="K354" s="39"/>
    </row>
    <row r="355">
      <c r="A355" s="1" t="s">
        <v>1494</v>
      </c>
      <c r="C355" s="1" t="s">
        <v>2303</v>
      </c>
      <c r="D355" s="15" t="s">
        <v>1515</v>
      </c>
      <c r="F355" s="15" t="s">
        <v>3003</v>
      </c>
      <c r="H355" s="1" t="s">
        <v>39</v>
      </c>
      <c r="I355" s="1" t="s">
        <v>15</v>
      </c>
      <c r="J355" s="105">
        <v>10.0</v>
      </c>
      <c r="K355" s="39"/>
    </row>
    <row r="356">
      <c r="A356" s="69"/>
      <c r="B356" s="67"/>
      <c r="C356" s="67"/>
      <c r="D356" s="96"/>
      <c r="E356" s="67"/>
      <c r="F356" s="96"/>
      <c r="G356" s="67"/>
      <c r="H356" s="67"/>
      <c r="I356" s="67"/>
      <c r="J356" s="67"/>
      <c r="K356" s="67"/>
      <c r="L356" s="67"/>
      <c r="M356" s="67"/>
      <c r="N356" s="67"/>
      <c r="O356" s="67"/>
      <c r="P356" s="67"/>
      <c r="Q356" s="67"/>
      <c r="R356" s="67"/>
      <c r="S356" s="67"/>
      <c r="T356" s="67"/>
      <c r="U356" s="67"/>
      <c r="V356" s="67"/>
      <c r="W356" s="67"/>
      <c r="X356" s="67"/>
      <c r="Y356" s="67"/>
      <c r="Z356" s="67"/>
      <c r="AA356" s="67"/>
      <c r="AB356" s="67"/>
      <c r="AC356" s="67"/>
      <c r="AD356" s="67"/>
      <c r="AE356" s="67"/>
    </row>
    <row r="357">
      <c r="A357" s="1" t="s">
        <v>1519</v>
      </c>
      <c r="C357" s="1" t="s">
        <v>2346</v>
      </c>
      <c r="D357" s="15" t="s">
        <v>2674</v>
      </c>
      <c r="F357" s="10"/>
      <c r="K357" s="39"/>
    </row>
    <row r="358">
      <c r="A358" s="1" t="s">
        <v>1519</v>
      </c>
      <c r="C358" s="1" t="s">
        <v>2236</v>
      </c>
      <c r="D358" s="15" t="s">
        <v>2674</v>
      </c>
      <c r="F358" s="10"/>
      <c r="K358" s="39"/>
    </row>
    <row r="359">
      <c r="A359" s="69"/>
      <c r="B359" s="67"/>
      <c r="C359" s="67"/>
      <c r="D359" s="96"/>
      <c r="E359" s="67"/>
      <c r="F359" s="96"/>
      <c r="G359" s="67"/>
      <c r="H359" s="67"/>
      <c r="I359" s="67"/>
      <c r="J359" s="67"/>
      <c r="K359" s="67"/>
      <c r="L359" s="67"/>
      <c r="M359" s="67"/>
      <c r="N359" s="67"/>
      <c r="O359" s="67"/>
      <c r="P359" s="67"/>
      <c r="Q359" s="67"/>
      <c r="R359" s="67"/>
      <c r="S359" s="67"/>
      <c r="T359" s="67"/>
      <c r="U359" s="67"/>
      <c r="V359" s="67"/>
      <c r="W359" s="67"/>
      <c r="X359" s="67"/>
      <c r="Y359" s="67"/>
      <c r="Z359" s="67"/>
      <c r="AA359" s="67"/>
      <c r="AB359" s="67"/>
      <c r="AC359" s="67"/>
      <c r="AD359" s="67"/>
      <c r="AE359" s="67"/>
    </row>
    <row r="360">
      <c r="A360" s="1" t="s">
        <v>1520</v>
      </c>
      <c r="C360" s="1" t="s">
        <v>2346</v>
      </c>
      <c r="D360" s="15" t="s">
        <v>1525</v>
      </c>
      <c r="F360" s="15" t="s">
        <v>3004</v>
      </c>
      <c r="G360" s="1" t="s">
        <v>1527</v>
      </c>
      <c r="H360" s="1" t="s">
        <v>44</v>
      </c>
      <c r="I360" s="1" t="s">
        <v>1522</v>
      </c>
      <c r="J360" s="79">
        <v>1.0</v>
      </c>
      <c r="K360" s="39"/>
      <c r="L360" s="1">
        <v>14.0</v>
      </c>
      <c r="M360" s="1" t="s">
        <v>1521</v>
      </c>
      <c r="N360" s="1" t="s">
        <v>11</v>
      </c>
      <c r="O360" s="1" t="s">
        <v>455</v>
      </c>
      <c r="P360" s="1" t="s">
        <v>447</v>
      </c>
      <c r="Q360" s="1" t="s">
        <v>44</v>
      </c>
      <c r="R360" s="1" t="s">
        <v>1522</v>
      </c>
    </row>
    <row r="361">
      <c r="A361" s="1" t="s">
        <v>1520</v>
      </c>
      <c r="C361" s="1" t="s">
        <v>2346</v>
      </c>
      <c r="D361" s="15" t="s">
        <v>1528</v>
      </c>
      <c r="E361" s="1" t="s">
        <v>1086</v>
      </c>
      <c r="F361" s="15" t="s">
        <v>1529</v>
      </c>
      <c r="G361" s="1" t="s">
        <v>1530</v>
      </c>
      <c r="H361" s="1" t="s">
        <v>20</v>
      </c>
      <c r="I361" s="1" t="s">
        <v>1522</v>
      </c>
      <c r="J361" s="78">
        <v>2.0</v>
      </c>
      <c r="K361" s="39"/>
      <c r="L361" s="1">
        <v>15.0</v>
      </c>
      <c r="M361" s="1" t="s">
        <v>1521</v>
      </c>
      <c r="N361" s="1" t="s">
        <v>11</v>
      </c>
      <c r="O361" s="1" t="s">
        <v>3005</v>
      </c>
      <c r="P361" s="1" t="s">
        <v>1524</v>
      </c>
      <c r="Q361" s="1" t="s">
        <v>20</v>
      </c>
      <c r="R361" s="1" t="s">
        <v>1522</v>
      </c>
    </row>
    <row r="362">
      <c r="A362" s="1" t="s">
        <v>1520</v>
      </c>
      <c r="C362" s="1" t="s">
        <v>2346</v>
      </c>
      <c r="D362" s="15" t="s">
        <v>1531</v>
      </c>
      <c r="E362" s="1" t="s">
        <v>698</v>
      </c>
      <c r="F362" s="15" t="s">
        <v>1532</v>
      </c>
      <c r="G362" s="1" t="s">
        <v>1533</v>
      </c>
      <c r="H362" s="1" t="s">
        <v>54</v>
      </c>
      <c r="I362" s="1" t="s">
        <v>1522</v>
      </c>
      <c r="J362" s="80">
        <v>3.0</v>
      </c>
      <c r="K362" s="39"/>
      <c r="L362" s="1">
        <v>1.0</v>
      </c>
      <c r="M362" s="1" t="s">
        <v>1525</v>
      </c>
      <c r="O362" s="1" t="s">
        <v>3004</v>
      </c>
      <c r="P362" s="1" t="s">
        <v>1527</v>
      </c>
      <c r="Q362" s="1" t="s">
        <v>44</v>
      </c>
      <c r="R362" s="1" t="s">
        <v>1522</v>
      </c>
    </row>
    <row r="363">
      <c r="A363" s="1" t="s">
        <v>1520</v>
      </c>
      <c r="C363" s="1" t="s">
        <v>2346</v>
      </c>
      <c r="D363" s="15" t="s">
        <v>1531</v>
      </c>
      <c r="E363" s="1" t="s">
        <v>1535</v>
      </c>
      <c r="F363" s="15" t="s">
        <v>1536</v>
      </c>
      <c r="G363" s="1" t="s">
        <v>1537</v>
      </c>
      <c r="H363" s="1" t="s">
        <v>54</v>
      </c>
      <c r="I363" s="1" t="s">
        <v>1522</v>
      </c>
      <c r="J363" s="83">
        <v>4.0</v>
      </c>
      <c r="K363" s="39"/>
      <c r="L363" s="1">
        <v>2.0</v>
      </c>
      <c r="M363" s="1" t="s">
        <v>1528</v>
      </c>
      <c r="N363" s="1" t="s">
        <v>1086</v>
      </c>
      <c r="O363" s="1" t="s">
        <v>1529</v>
      </c>
      <c r="P363" s="1" t="s">
        <v>1530</v>
      </c>
      <c r="Q363" s="1" t="s">
        <v>20</v>
      </c>
      <c r="R363" s="1" t="s">
        <v>1522</v>
      </c>
    </row>
    <row r="364">
      <c r="A364" s="1" t="s">
        <v>1520</v>
      </c>
      <c r="C364" s="1" t="s">
        <v>2346</v>
      </c>
      <c r="D364" s="15" t="s">
        <v>1531</v>
      </c>
      <c r="E364" s="1" t="s">
        <v>1535</v>
      </c>
      <c r="F364" s="15" t="s">
        <v>702</v>
      </c>
      <c r="G364" s="1" t="s">
        <v>1537</v>
      </c>
      <c r="H364" s="1" t="s">
        <v>54</v>
      </c>
      <c r="I364" s="1" t="s">
        <v>1522</v>
      </c>
      <c r="J364" s="109">
        <v>5.0</v>
      </c>
      <c r="K364" s="39"/>
      <c r="L364" s="1">
        <v>3.0</v>
      </c>
      <c r="M364" s="1" t="s">
        <v>1531</v>
      </c>
      <c r="N364" s="1" t="s">
        <v>698</v>
      </c>
      <c r="O364" s="1" t="s">
        <v>1532</v>
      </c>
      <c r="P364" s="1" t="s">
        <v>1533</v>
      </c>
      <c r="Q364" s="1" t="s">
        <v>54</v>
      </c>
      <c r="R364" s="1" t="s">
        <v>1522</v>
      </c>
    </row>
    <row r="365">
      <c r="A365" s="1" t="s">
        <v>1520</v>
      </c>
      <c r="C365" s="1" t="s">
        <v>2346</v>
      </c>
      <c r="D365" s="15" t="s">
        <v>1531</v>
      </c>
      <c r="E365" s="1" t="s">
        <v>1535</v>
      </c>
      <c r="F365" s="15" t="s">
        <v>1541</v>
      </c>
      <c r="G365" s="1" t="s">
        <v>1537</v>
      </c>
      <c r="H365" s="1" t="s">
        <v>54</v>
      </c>
      <c r="I365" s="1" t="s">
        <v>1522</v>
      </c>
      <c r="J365" s="90">
        <v>6.0</v>
      </c>
      <c r="K365" s="39"/>
      <c r="L365" s="1" t="s">
        <v>1534</v>
      </c>
      <c r="M365" s="1" t="s">
        <v>1531</v>
      </c>
      <c r="N365" s="1" t="s">
        <v>1535</v>
      </c>
      <c r="O365" s="1" t="s">
        <v>1536</v>
      </c>
      <c r="P365" s="1" t="s">
        <v>1537</v>
      </c>
      <c r="Q365" s="1" t="s">
        <v>54</v>
      </c>
      <c r="R365" s="1" t="s">
        <v>1522</v>
      </c>
    </row>
    <row r="366">
      <c r="A366" s="1" t="s">
        <v>1520</v>
      </c>
      <c r="C366" s="1" t="s">
        <v>2346</v>
      </c>
      <c r="D366" s="15" t="s">
        <v>1531</v>
      </c>
      <c r="E366" s="1" t="s">
        <v>1535</v>
      </c>
      <c r="F366" s="15" t="s">
        <v>1539</v>
      </c>
      <c r="G366" s="1" t="s">
        <v>1537</v>
      </c>
      <c r="H366" s="1" t="s">
        <v>54</v>
      </c>
      <c r="I366" s="1" t="s">
        <v>1522</v>
      </c>
      <c r="J366" s="102">
        <v>7.0</v>
      </c>
      <c r="K366" s="39"/>
      <c r="L366" s="1" t="s">
        <v>1538</v>
      </c>
      <c r="M366" s="1" t="s">
        <v>1531</v>
      </c>
      <c r="N366" s="1" t="s">
        <v>1535</v>
      </c>
      <c r="O366" s="1" t="s">
        <v>1539</v>
      </c>
      <c r="P366" s="1" t="s">
        <v>1537</v>
      </c>
      <c r="Q366" s="1" t="s">
        <v>54</v>
      </c>
      <c r="R366" s="1" t="s">
        <v>1522</v>
      </c>
    </row>
    <row r="367">
      <c r="A367" s="1" t="s">
        <v>1520</v>
      </c>
      <c r="C367" s="1" t="s">
        <v>2346</v>
      </c>
      <c r="D367" s="15" t="s">
        <v>1531</v>
      </c>
      <c r="E367" s="1" t="s">
        <v>1535</v>
      </c>
      <c r="F367" s="15" t="s">
        <v>1543</v>
      </c>
      <c r="G367" s="1" t="s">
        <v>1537</v>
      </c>
      <c r="H367" s="1" t="s">
        <v>54</v>
      </c>
      <c r="I367" s="1" t="s">
        <v>1522</v>
      </c>
      <c r="J367" s="108">
        <v>8.0</v>
      </c>
      <c r="K367" s="39"/>
      <c r="L367" s="1" t="s">
        <v>1540</v>
      </c>
      <c r="M367" s="1" t="s">
        <v>1531</v>
      </c>
      <c r="N367" s="1" t="s">
        <v>1535</v>
      </c>
      <c r="O367" s="1" t="s">
        <v>1541</v>
      </c>
      <c r="P367" s="1" t="s">
        <v>1537</v>
      </c>
      <c r="Q367" s="1" t="s">
        <v>54</v>
      </c>
      <c r="R367" s="1" t="s">
        <v>1522</v>
      </c>
    </row>
    <row r="368">
      <c r="A368" s="1" t="s">
        <v>1520</v>
      </c>
      <c r="C368" s="1" t="s">
        <v>2346</v>
      </c>
      <c r="D368" s="15" t="s">
        <v>1547</v>
      </c>
      <c r="E368" s="1" t="s">
        <v>1205</v>
      </c>
      <c r="F368" s="15" t="s">
        <v>2561</v>
      </c>
      <c r="G368" s="1" t="s">
        <v>716</v>
      </c>
      <c r="H368" s="1" t="s">
        <v>39</v>
      </c>
      <c r="I368" s="1" t="s">
        <v>1522</v>
      </c>
      <c r="J368" s="93">
        <v>9.0</v>
      </c>
      <c r="K368" s="39"/>
      <c r="L368" s="1" t="s">
        <v>1542</v>
      </c>
      <c r="M368" s="1" t="s">
        <v>1531</v>
      </c>
      <c r="N368" s="1" t="s">
        <v>1535</v>
      </c>
      <c r="O368" s="1" t="s">
        <v>1543</v>
      </c>
      <c r="P368" s="1" t="s">
        <v>1537</v>
      </c>
      <c r="Q368" s="1" t="s">
        <v>54</v>
      </c>
      <c r="R368" s="1" t="s">
        <v>1522</v>
      </c>
    </row>
    <row r="369">
      <c r="A369" s="1" t="s">
        <v>1520</v>
      </c>
      <c r="C369" s="1" t="s">
        <v>2346</v>
      </c>
      <c r="D369" s="15" t="s">
        <v>1547</v>
      </c>
      <c r="E369" s="1" t="s">
        <v>1205</v>
      </c>
      <c r="F369" s="15" t="s">
        <v>2562</v>
      </c>
      <c r="G369" s="1" t="s">
        <v>716</v>
      </c>
      <c r="H369" s="1" t="s">
        <v>39</v>
      </c>
      <c r="I369" s="1" t="s">
        <v>1522</v>
      </c>
      <c r="J369" s="93">
        <v>10.0</v>
      </c>
      <c r="K369" s="39"/>
      <c r="L369" s="1" t="s">
        <v>1544</v>
      </c>
      <c r="M369" s="1" t="s">
        <v>1531</v>
      </c>
      <c r="N369" s="1" t="s">
        <v>1535</v>
      </c>
      <c r="O369" s="1" t="s">
        <v>1545</v>
      </c>
      <c r="P369" s="1" t="s">
        <v>1537</v>
      </c>
      <c r="Q369" s="1" t="s">
        <v>54</v>
      </c>
      <c r="R369" s="1" t="s">
        <v>1522</v>
      </c>
    </row>
    <row r="370">
      <c r="A370" s="1" t="s">
        <v>1520</v>
      </c>
      <c r="C370" s="1" t="s">
        <v>2346</v>
      </c>
      <c r="D370" s="15" t="s">
        <v>1547</v>
      </c>
      <c r="E370" s="1" t="s">
        <v>1205</v>
      </c>
      <c r="F370" s="15" t="s">
        <v>3006</v>
      </c>
      <c r="G370" s="1" t="s">
        <v>716</v>
      </c>
      <c r="H370" s="1" t="s">
        <v>39</v>
      </c>
      <c r="I370" s="1" t="s">
        <v>1522</v>
      </c>
      <c r="J370" s="93">
        <v>11.0</v>
      </c>
      <c r="K370" s="39"/>
      <c r="L370" s="1" t="s">
        <v>1546</v>
      </c>
      <c r="M370" s="1" t="s">
        <v>1547</v>
      </c>
      <c r="N370" s="1" t="s">
        <v>1548</v>
      </c>
      <c r="O370" s="1" t="s">
        <v>1549</v>
      </c>
      <c r="P370" s="1" t="s">
        <v>434</v>
      </c>
      <c r="Q370" s="1" t="s">
        <v>39</v>
      </c>
      <c r="R370" s="1" t="s">
        <v>1522</v>
      </c>
    </row>
    <row r="371">
      <c r="A371" s="1" t="s">
        <v>1520</v>
      </c>
      <c r="C371" s="1" t="s">
        <v>2346</v>
      </c>
      <c r="D371" s="15" t="s">
        <v>1547</v>
      </c>
      <c r="E371" s="1" t="s">
        <v>1205</v>
      </c>
      <c r="F371" s="15" t="s">
        <v>3007</v>
      </c>
      <c r="G371" s="1" t="s">
        <v>3008</v>
      </c>
      <c r="H371" s="1" t="s">
        <v>39</v>
      </c>
      <c r="I371" s="1" t="s">
        <v>1522</v>
      </c>
      <c r="J371" s="93">
        <v>12.0</v>
      </c>
      <c r="K371" s="39"/>
      <c r="L371" s="1">
        <v>13.0</v>
      </c>
      <c r="M371" s="1" t="s">
        <v>1550</v>
      </c>
      <c r="N371" s="1" t="s">
        <v>1551</v>
      </c>
      <c r="O371" s="1" t="s">
        <v>1552</v>
      </c>
      <c r="P371" s="1" t="s">
        <v>1553</v>
      </c>
      <c r="Q371" s="1" t="s">
        <v>39</v>
      </c>
      <c r="R371" s="1" t="s">
        <v>1522</v>
      </c>
    </row>
    <row r="372">
      <c r="A372" s="1" t="s">
        <v>1520</v>
      </c>
      <c r="C372" s="1" t="s">
        <v>2346</v>
      </c>
      <c r="D372" s="15" t="s">
        <v>1550</v>
      </c>
      <c r="E372" s="1" t="s">
        <v>1551</v>
      </c>
      <c r="F372" s="15" t="s">
        <v>1552</v>
      </c>
      <c r="G372" s="1" t="s">
        <v>1553</v>
      </c>
      <c r="H372" s="1" t="s">
        <v>39</v>
      </c>
      <c r="I372" s="1" t="s">
        <v>1522</v>
      </c>
      <c r="J372" s="122">
        <v>13.0</v>
      </c>
      <c r="K372" s="39"/>
      <c r="L372" s="1">
        <v>18.0</v>
      </c>
      <c r="M372" s="1" t="s">
        <v>1531</v>
      </c>
      <c r="N372" s="1" t="s">
        <v>1554</v>
      </c>
      <c r="O372" s="1" t="s">
        <v>3009</v>
      </c>
      <c r="P372" s="1" t="s">
        <v>3010</v>
      </c>
      <c r="Q372" s="1" t="s">
        <v>20</v>
      </c>
      <c r="R372" s="1" t="s">
        <v>1522</v>
      </c>
    </row>
    <row r="373">
      <c r="A373" s="1" t="s">
        <v>1520</v>
      </c>
      <c r="C373" s="1" t="s">
        <v>2236</v>
      </c>
      <c r="D373" s="15" t="s">
        <v>1521</v>
      </c>
      <c r="E373" s="1" t="s">
        <v>11</v>
      </c>
      <c r="F373" s="15" t="s">
        <v>455</v>
      </c>
      <c r="G373" s="1" t="s">
        <v>447</v>
      </c>
      <c r="H373" s="1" t="s">
        <v>44</v>
      </c>
      <c r="I373" s="1" t="s">
        <v>1522</v>
      </c>
      <c r="J373" s="91">
        <v>14.0</v>
      </c>
      <c r="K373" s="39"/>
    </row>
    <row r="374">
      <c r="A374" s="1" t="s">
        <v>1520</v>
      </c>
      <c r="C374" s="1" t="s">
        <v>2236</v>
      </c>
      <c r="D374" s="15" t="s">
        <v>1521</v>
      </c>
      <c r="E374" s="1" t="s">
        <v>11</v>
      </c>
      <c r="F374" s="15" t="s">
        <v>3005</v>
      </c>
      <c r="G374" s="1" t="s">
        <v>1524</v>
      </c>
      <c r="H374" s="1" t="s">
        <v>20</v>
      </c>
      <c r="I374" s="1" t="s">
        <v>1522</v>
      </c>
      <c r="J374" s="80">
        <v>15.0</v>
      </c>
      <c r="K374" s="39"/>
    </row>
    <row r="375">
      <c r="A375" s="1" t="s">
        <v>1520</v>
      </c>
      <c r="C375" s="1" t="s">
        <v>2236</v>
      </c>
      <c r="D375" s="15" t="s">
        <v>1547</v>
      </c>
      <c r="E375" s="1" t="s">
        <v>1548</v>
      </c>
      <c r="F375" s="15" t="s">
        <v>719</v>
      </c>
      <c r="G375" s="1" t="s">
        <v>434</v>
      </c>
      <c r="H375" s="1" t="s">
        <v>39</v>
      </c>
      <c r="I375" s="1" t="s">
        <v>1522</v>
      </c>
      <c r="J375" s="93">
        <v>16.0</v>
      </c>
      <c r="K375" s="39"/>
    </row>
    <row r="376">
      <c r="A376" s="1" t="s">
        <v>1520</v>
      </c>
      <c r="C376" s="1" t="s">
        <v>2236</v>
      </c>
      <c r="D376" s="15" t="s">
        <v>1547</v>
      </c>
      <c r="E376" s="1" t="s">
        <v>1548</v>
      </c>
      <c r="F376" s="15" t="s">
        <v>3011</v>
      </c>
      <c r="G376" s="1" t="s">
        <v>434</v>
      </c>
      <c r="H376" s="1" t="s">
        <v>39</v>
      </c>
      <c r="I376" s="1" t="s">
        <v>1522</v>
      </c>
      <c r="J376" s="93">
        <v>17.0</v>
      </c>
      <c r="K376" s="39"/>
    </row>
    <row r="377">
      <c r="A377" s="1" t="s">
        <v>1520</v>
      </c>
      <c r="C377" s="1" t="s">
        <v>2236</v>
      </c>
      <c r="D377" s="15" t="s">
        <v>1531</v>
      </c>
      <c r="E377" s="1" t="s">
        <v>1554</v>
      </c>
      <c r="F377" s="15" t="s">
        <v>3009</v>
      </c>
      <c r="G377" s="1" t="s">
        <v>3010</v>
      </c>
      <c r="H377" s="1" t="s">
        <v>20</v>
      </c>
      <c r="I377" s="1" t="s">
        <v>1522</v>
      </c>
      <c r="J377" s="85">
        <v>18.0</v>
      </c>
      <c r="K377" s="39"/>
    </row>
    <row r="378">
      <c r="A378" s="1" t="s">
        <v>1520</v>
      </c>
      <c r="C378" s="1" t="s">
        <v>2236</v>
      </c>
      <c r="D378" s="15" t="s">
        <v>1531</v>
      </c>
      <c r="F378" s="15" t="s">
        <v>3012</v>
      </c>
      <c r="H378" s="1" t="s">
        <v>54</v>
      </c>
      <c r="I378" s="1" t="s">
        <v>1522</v>
      </c>
      <c r="J378" s="83">
        <v>19.0</v>
      </c>
      <c r="K378" s="39"/>
    </row>
    <row r="379">
      <c r="A379" s="1" t="s">
        <v>1520</v>
      </c>
      <c r="C379" s="1" t="s">
        <v>2236</v>
      </c>
      <c r="D379" s="15" t="s">
        <v>1531</v>
      </c>
      <c r="F379" s="15" t="s">
        <v>3013</v>
      </c>
      <c r="H379" s="1" t="s">
        <v>54</v>
      </c>
      <c r="I379" s="1" t="s">
        <v>1522</v>
      </c>
      <c r="J379" s="109">
        <v>20.0</v>
      </c>
      <c r="K379" s="39"/>
    </row>
    <row r="380">
      <c r="A380" s="1" t="s">
        <v>1520</v>
      </c>
      <c r="C380" s="1" t="s">
        <v>2236</v>
      </c>
      <c r="D380" s="15" t="s">
        <v>1531</v>
      </c>
      <c r="F380" s="15" t="s">
        <v>3014</v>
      </c>
      <c r="H380" s="1" t="s">
        <v>54</v>
      </c>
      <c r="I380" s="1" t="s">
        <v>1522</v>
      </c>
      <c r="J380" s="90">
        <v>21.0</v>
      </c>
      <c r="K380" s="39"/>
    </row>
    <row r="381">
      <c r="A381" s="1" t="s">
        <v>1520</v>
      </c>
      <c r="C381" s="1" t="s">
        <v>2236</v>
      </c>
      <c r="D381" s="15" t="s">
        <v>1531</v>
      </c>
      <c r="F381" s="15" t="s">
        <v>3015</v>
      </c>
      <c r="H381" s="1" t="s">
        <v>54</v>
      </c>
      <c r="I381" s="1" t="s">
        <v>1522</v>
      </c>
      <c r="J381" s="102">
        <v>22.0</v>
      </c>
      <c r="K381" s="39"/>
    </row>
    <row r="382">
      <c r="A382" s="1" t="s">
        <v>1520</v>
      </c>
      <c r="C382" s="1" t="s">
        <v>2236</v>
      </c>
      <c r="D382" s="15" t="s">
        <v>1531</v>
      </c>
      <c r="F382" s="15" t="s">
        <v>2668</v>
      </c>
      <c r="H382" s="1" t="s">
        <v>54</v>
      </c>
      <c r="I382" s="1" t="s">
        <v>1522</v>
      </c>
      <c r="J382" s="108">
        <v>23.0</v>
      </c>
      <c r="K382" s="39"/>
    </row>
    <row r="383">
      <c r="A383" s="69"/>
      <c r="B383" s="67"/>
      <c r="C383" s="67"/>
      <c r="D383" s="96"/>
      <c r="E383" s="67"/>
      <c r="F383" s="96"/>
      <c r="G383" s="67"/>
      <c r="H383" s="67"/>
      <c r="I383" s="67"/>
      <c r="J383" s="67"/>
      <c r="K383" s="67"/>
      <c r="L383" s="67"/>
      <c r="M383" s="67"/>
      <c r="N383" s="67"/>
      <c r="O383" s="67"/>
      <c r="P383" s="67"/>
      <c r="Q383" s="67"/>
      <c r="R383" s="67"/>
      <c r="S383" s="67"/>
      <c r="T383" s="67"/>
      <c r="U383" s="67"/>
      <c r="V383" s="67"/>
      <c r="W383" s="67"/>
      <c r="X383" s="67"/>
      <c r="Y383" s="67"/>
      <c r="Z383" s="67"/>
      <c r="AA383" s="67"/>
      <c r="AB383" s="67"/>
      <c r="AC383" s="67"/>
      <c r="AD383" s="67"/>
      <c r="AE383" s="67"/>
    </row>
    <row r="384">
      <c r="A384" s="1" t="s">
        <v>1557</v>
      </c>
      <c r="C384" s="1" t="s">
        <v>2346</v>
      </c>
      <c r="D384" s="15" t="s">
        <v>1558</v>
      </c>
      <c r="F384" s="15" t="s">
        <v>1559</v>
      </c>
      <c r="G384" s="1" t="s">
        <v>1527</v>
      </c>
      <c r="H384" s="1" t="s">
        <v>44</v>
      </c>
      <c r="I384" s="1" t="s">
        <v>1560</v>
      </c>
      <c r="J384" s="91">
        <v>1.0</v>
      </c>
      <c r="K384" s="39"/>
      <c r="L384" s="1">
        <v>1.0</v>
      </c>
      <c r="M384" s="1" t="s">
        <v>1558</v>
      </c>
      <c r="O384" s="1" t="s">
        <v>1559</v>
      </c>
      <c r="P384" s="1" t="s">
        <v>1527</v>
      </c>
      <c r="Q384" s="1" t="s">
        <v>44</v>
      </c>
      <c r="R384" s="78" t="s">
        <v>1560</v>
      </c>
    </row>
    <row r="385">
      <c r="A385" s="1" t="s">
        <v>1557</v>
      </c>
      <c r="C385" s="1" t="s">
        <v>2346</v>
      </c>
      <c r="D385" s="15" t="s">
        <v>1570</v>
      </c>
      <c r="E385" s="1" t="s">
        <v>170</v>
      </c>
      <c r="F385" s="15" t="s">
        <v>1571</v>
      </c>
      <c r="G385" s="1" t="s">
        <v>1572</v>
      </c>
      <c r="H385" s="1" t="s">
        <v>54</v>
      </c>
      <c r="I385" s="1" t="s">
        <v>1560</v>
      </c>
      <c r="J385" s="89">
        <v>2.0</v>
      </c>
      <c r="K385" s="39"/>
      <c r="L385" s="1">
        <v>16.0</v>
      </c>
      <c r="M385" s="1" t="s">
        <v>1561</v>
      </c>
      <c r="N385" s="1" t="s">
        <v>1562</v>
      </c>
      <c r="O385" s="1" t="s">
        <v>1563</v>
      </c>
      <c r="P385" s="1" t="s">
        <v>1344</v>
      </c>
      <c r="Q385" s="1" t="s">
        <v>44</v>
      </c>
      <c r="R385" s="78" t="s">
        <v>1560</v>
      </c>
    </row>
    <row r="386">
      <c r="A386" s="1" t="s">
        <v>1557</v>
      </c>
      <c r="C386" s="1" t="s">
        <v>2346</v>
      </c>
      <c r="D386" s="15" t="s">
        <v>1570</v>
      </c>
      <c r="E386" s="1" t="s">
        <v>170</v>
      </c>
      <c r="F386" s="15" t="s">
        <v>1573</v>
      </c>
      <c r="G386" s="1" t="s">
        <v>1574</v>
      </c>
      <c r="H386" s="1" t="s">
        <v>14</v>
      </c>
      <c r="I386" s="1" t="s">
        <v>1560</v>
      </c>
      <c r="J386" s="123">
        <v>3.0</v>
      </c>
      <c r="K386" s="39"/>
      <c r="L386" s="1">
        <v>17.0</v>
      </c>
      <c r="M386" s="1" t="s">
        <v>1565</v>
      </c>
      <c r="N386" s="1" t="s">
        <v>1566</v>
      </c>
      <c r="O386" s="1" t="s">
        <v>3016</v>
      </c>
      <c r="P386" s="1" t="s">
        <v>1568</v>
      </c>
      <c r="Q386" s="1" t="s">
        <v>91</v>
      </c>
      <c r="R386" s="78" t="s">
        <v>1560</v>
      </c>
    </row>
    <row r="387">
      <c r="A387" s="1" t="s">
        <v>1557</v>
      </c>
      <c r="C387" s="1" t="s">
        <v>2346</v>
      </c>
      <c r="D387" s="15" t="s">
        <v>1575</v>
      </c>
      <c r="E387" s="1" t="s">
        <v>698</v>
      </c>
      <c r="F387" s="15" t="s">
        <v>3017</v>
      </c>
      <c r="G387" s="1" t="s">
        <v>3018</v>
      </c>
      <c r="H387" s="1" t="s">
        <v>54</v>
      </c>
      <c r="I387" s="1" t="s">
        <v>1560</v>
      </c>
      <c r="J387" s="110">
        <v>4.0</v>
      </c>
      <c r="K387" s="39"/>
      <c r="L387" s="1">
        <v>18.0</v>
      </c>
      <c r="M387" s="1" t="s">
        <v>1565</v>
      </c>
      <c r="N387" s="1" t="s">
        <v>503</v>
      </c>
      <c r="O387" s="1" t="s">
        <v>1569</v>
      </c>
      <c r="Q387" s="1" t="s">
        <v>2388</v>
      </c>
      <c r="R387" s="78" t="s">
        <v>1560</v>
      </c>
    </row>
    <row r="388">
      <c r="A388" s="1" t="s">
        <v>1557</v>
      </c>
      <c r="C388" s="1" t="s">
        <v>2346</v>
      </c>
      <c r="D388" s="15" t="s">
        <v>1575</v>
      </c>
      <c r="F388" s="15" t="s">
        <v>1576</v>
      </c>
      <c r="G388" s="1" t="s">
        <v>1577</v>
      </c>
      <c r="H388" s="1" t="s">
        <v>54</v>
      </c>
      <c r="I388" s="1" t="s">
        <v>1560</v>
      </c>
      <c r="J388" s="124">
        <v>5.0</v>
      </c>
      <c r="K388" s="39"/>
      <c r="L388" s="1">
        <v>2.0</v>
      </c>
      <c r="M388" s="1" t="s">
        <v>1570</v>
      </c>
      <c r="N388" s="1" t="s">
        <v>170</v>
      </c>
      <c r="O388" s="1" t="s">
        <v>1571</v>
      </c>
      <c r="P388" s="1" t="s">
        <v>1572</v>
      </c>
      <c r="Q388" s="93" t="s">
        <v>20</v>
      </c>
      <c r="R388" s="1" t="s">
        <v>1560</v>
      </c>
    </row>
    <row r="389">
      <c r="A389" s="1" t="s">
        <v>1557</v>
      </c>
      <c r="C389" s="1" t="s">
        <v>2346</v>
      </c>
      <c r="D389" s="15" t="s">
        <v>1575</v>
      </c>
      <c r="F389" s="15" t="s">
        <v>1578</v>
      </c>
      <c r="G389" s="1" t="s">
        <v>1579</v>
      </c>
      <c r="H389" s="1" t="s">
        <v>54</v>
      </c>
      <c r="I389" s="1" t="s">
        <v>1560</v>
      </c>
      <c r="J389" s="125">
        <v>6.0</v>
      </c>
      <c r="K389" s="39"/>
      <c r="L389" s="1">
        <v>3.0</v>
      </c>
      <c r="M389" s="1" t="s">
        <v>1570</v>
      </c>
      <c r="N389" s="1" t="s">
        <v>170</v>
      </c>
      <c r="O389" s="1" t="s">
        <v>1573</v>
      </c>
      <c r="P389" s="1" t="s">
        <v>1574</v>
      </c>
      <c r="Q389" s="1" t="s">
        <v>14</v>
      </c>
      <c r="R389" s="1" t="s">
        <v>1560</v>
      </c>
    </row>
    <row r="390">
      <c r="A390" s="1" t="s">
        <v>1557</v>
      </c>
      <c r="C390" s="1" t="s">
        <v>2346</v>
      </c>
      <c r="D390" s="15" t="s">
        <v>1575</v>
      </c>
      <c r="F390" s="15" t="s">
        <v>1218</v>
      </c>
      <c r="G390" s="1" t="s">
        <v>1580</v>
      </c>
      <c r="H390" s="1" t="s">
        <v>54</v>
      </c>
      <c r="I390" s="1" t="s">
        <v>1560</v>
      </c>
      <c r="J390" s="86">
        <v>7.0</v>
      </c>
      <c r="K390" s="39"/>
      <c r="L390" s="1">
        <v>4.0</v>
      </c>
      <c r="M390" s="1" t="s">
        <v>1575</v>
      </c>
      <c r="N390" s="1" t="s">
        <v>698</v>
      </c>
      <c r="O390" s="1" t="s">
        <v>3017</v>
      </c>
      <c r="P390" s="1" t="s">
        <v>3018</v>
      </c>
      <c r="Q390" s="1" t="s">
        <v>54</v>
      </c>
      <c r="R390" s="1" t="s">
        <v>1560</v>
      </c>
    </row>
    <row r="391">
      <c r="A391" s="1" t="s">
        <v>1557</v>
      </c>
      <c r="C391" s="1" t="s">
        <v>2346</v>
      </c>
      <c r="D391" s="15" t="s">
        <v>1575</v>
      </c>
      <c r="F391" s="15" t="s">
        <v>1220</v>
      </c>
      <c r="G391" s="1" t="s">
        <v>1581</v>
      </c>
      <c r="H391" s="1" t="s">
        <v>54</v>
      </c>
      <c r="I391" s="1" t="s">
        <v>1560</v>
      </c>
      <c r="J391" s="90">
        <v>8.0</v>
      </c>
      <c r="K391" s="39"/>
      <c r="L391" s="1">
        <v>5.0</v>
      </c>
      <c r="M391" s="1" t="s">
        <v>1575</v>
      </c>
      <c r="O391" s="1" t="s">
        <v>1576</v>
      </c>
      <c r="P391" s="1" t="s">
        <v>1577</v>
      </c>
      <c r="Q391" s="1" t="s">
        <v>54</v>
      </c>
      <c r="R391" s="1" t="s">
        <v>1560</v>
      </c>
    </row>
    <row r="392">
      <c r="A392" s="1" t="s">
        <v>1557</v>
      </c>
      <c r="C392" s="1" t="s">
        <v>2346</v>
      </c>
      <c r="D392" s="15" t="s">
        <v>1591</v>
      </c>
      <c r="E392" s="1" t="s">
        <v>1205</v>
      </c>
      <c r="F392" s="15" t="s">
        <v>3019</v>
      </c>
      <c r="G392" s="1" t="s">
        <v>716</v>
      </c>
      <c r="H392" s="1" t="s">
        <v>39</v>
      </c>
      <c r="I392" s="1" t="s">
        <v>1560</v>
      </c>
      <c r="J392" s="126">
        <v>9.0</v>
      </c>
      <c r="K392" s="39"/>
      <c r="L392" s="1">
        <v>6.0</v>
      </c>
      <c r="M392" s="1" t="s">
        <v>1575</v>
      </c>
      <c r="O392" s="1" t="s">
        <v>1578</v>
      </c>
      <c r="P392" s="1" t="s">
        <v>1579</v>
      </c>
      <c r="Q392" s="1" t="s">
        <v>54</v>
      </c>
      <c r="R392" s="1" t="s">
        <v>1560</v>
      </c>
    </row>
    <row r="393">
      <c r="A393" s="1" t="s">
        <v>1557</v>
      </c>
      <c r="C393" s="1" t="s">
        <v>2346</v>
      </c>
      <c r="D393" s="15" t="s">
        <v>1591</v>
      </c>
      <c r="E393" s="1" t="s">
        <v>1205</v>
      </c>
      <c r="F393" s="15" t="s">
        <v>2562</v>
      </c>
      <c r="G393" s="1" t="s">
        <v>716</v>
      </c>
      <c r="H393" s="1" t="s">
        <v>39</v>
      </c>
      <c r="I393" s="1" t="s">
        <v>1560</v>
      </c>
      <c r="J393" s="126">
        <v>10.0</v>
      </c>
      <c r="K393" s="39"/>
      <c r="L393" s="1">
        <v>7.0</v>
      </c>
      <c r="M393" s="1" t="s">
        <v>1575</v>
      </c>
      <c r="O393" s="1" t="s">
        <v>1218</v>
      </c>
      <c r="P393" s="1" t="s">
        <v>1580</v>
      </c>
      <c r="Q393" s="1" t="s">
        <v>54</v>
      </c>
      <c r="R393" s="1" t="s">
        <v>1560</v>
      </c>
    </row>
    <row r="394">
      <c r="A394" s="1" t="s">
        <v>1557</v>
      </c>
      <c r="C394" s="1" t="s">
        <v>2346</v>
      </c>
      <c r="D394" s="15" t="s">
        <v>1591</v>
      </c>
      <c r="E394" s="1" t="s">
        <v>1205</v>
      </c>
      <c r="F394" s="15" t="s">
        <v>2561</v>
      </c>
      <c r="G394" s="1" t="s">
        <v>716</v>
      </c>
      <c r="H394" s="1" t="s">
        <v>39</v>
      </c>
      <c r="I394" s="1" t="s">
        <v>1560</v>
      </c>
      <c r="J394" s="126">
        <v>11.0</v>
      </c>
      <c r="K394" s="39"/>
      <c r="L394" s="1">
        <v>8.0</v>
      </c>
      <c r="M394" s="1" t="s">
        <v>1575</v>
      </c>
      <c r="O394" s="1" t="s">
        <v>1220</v>
      </c>
      <c r="P394" s="1" t="s">
        <v>1581</v>
      </c>
      <c r="Q394" s="1" t="s">
        <v>54</v>
      </c>
      <c r="R394" s="1" t="s">
        <v>1560</v>
      </c>
    </row>
    <row r="395">
      <c r="A395" s="1" t="s">
        <v>1557</v>
      </c>
      <c r="C395" s="1" t="s">
        <v>2346</v>
      </c>
      <c r="D395" s="15" t="s">
        <v>1582</v>
      </c>
      <c r="E395" s="1" t="s">
        <v>910</v>
      </c>
      <c r="F395" s="15" t="s">
        <v>1583</v>
      </c>
      <c r="G395" s="1" t="s">
        <v>1584</v>
      </c>
      <c r="H395" s="1" t="s">
        <v>39</v>
      </c>
      <c r="I395" s="1" t="s">
        <v>1560</v>
      </c>
      <c r="J395" s="83">
        <v>12.0</v>
      </c>
      <c r="K395" s="39"/>
      <c r="L395" s="1">
        <v>12.0</v>
      </c>
      <c r="M395" s="1" t="s">
        <v>1582</v>
      </c>
      <c r="N395" s="1" t="s">
        <v>910</v>
      </c>
      <c r="O395" s="1" t="s">
        <v>1583</v>
      </c>
      <c r="P395" s="1" t="s">
        <v>1584</v>
      </c>
      <c r="Q395" s="1" t="s">
        <v>39</v>
      </c>
      <c r="R395" s="1" t="s">
        <v>1560</v>
      </c>
    </row>
    <row r="396">
      <c r="A396" s="1" t="s">
        <v>1557</v>
      </c>
      <c r="C396" s="1" t="s">
        <v>2346</v>
      </c>
      <c r="D396" s="15" t="s">
        <v>1585</v>
      </c>
      <c r="E396" s="1" t="s">
        <v>910</v>
      </c>
      <c r="F396" s="15" t="s">
        <v>1586</v>
      </c>
      <c r="G396" s="1" t="s">
        <v>1587</v>
      </c>
      <c r="H396" s="1" t="s">
        <v>506</v>
      </c>
      <c r="I396" s="1" t="s">
        <v>1560</v>
      </c>
      <c r="J396" s="73">
        <v>13.0</v>
      </c>
      <c r="K396" s="39"/>
      <c r="L396" s="1">
        <v>13.0</v>
      </c>
      <c r="M396" s="1" t="s">
        <v>1585</v>
      </c>
      <c r="N396" s="1" t="s">
        <v>910</v>
      </c>
      <c r="O396" s="1" t="s">
        <v>1586</v>
      </c>
      <c r="P396" s="1" t="s">
        <v>1587</v>
      </c>
      <c r="Q396" s="1" t="s">
        <v>506</v>
      </c>
      <c r="R396" s="1" t="s">
        <v>1560</v>
      </c>
    </row>
    <row r="397">
      <c r="A397" s="1" t="s">
        <v>1557</v>
      </c>
      <c r="C397" s="1" t="s">
        <v>2346</v>
      </c>
      <c r="D397" s="15" t="s">
        <v>1585</v>
      </c>
      <c r="E397" s="1" t="s">
        <v>910</v>
      </c>
      <c r="F397" s="15" t="s">
        <v>1588</v>
      </c>
      <c r="G397" s="1" t="s">
        <v>1589</v>
      </c>
      <c r="H397" s="1" t="s">
        <v>506</v>
      </c>
      <c r="I397" s="1" t="s">
        <v>1560</v>
      </c>
      <c r="J397" s="122">
        <v>14.0</v>
      </c>
      <c r="K397" s="39"/>
      <c r="L397" s="1">
        <v>14.0</v>
      </c>
      <c r="M397" s="1" t="s">
        <v>1585</v>
      </c>
      <c r="N397" s="1" t="s">
        <v>910</v>
      </c>
      <c r="O397" s="1" t="s">
        <v>1588</v>
      </c>
      <c r="P397" s="1" t="s">
        <v>1589</v>
      </c>
      <c r="Q397" s="1" t="s">
        <v>506</v>
      </c>
      <c r="R397" s="1" t="s">
        <v>1560</v>
      </c>
    </row>
    <row r="398">
      <c r="A398" s="1" t="s">
        <v>1557</v>
      </c>
      <c r="C398" s="1" t="s">
        <v>2346</v>
      </c>
      <c r="D398" s="15" t="s">
        <v>1585</v>
      </c>
      <c r="E398" s="1" t="s">
        <v>910</v>
      </c>
      <c r="F398" s="15" t="s">
        <v>1593</v>
      </c>
      <c r="G398" s="1" t="s">
        <v>1594</v>
      </c>
      <c r="H398" s="1" t="s">
        <v>39</v>
      </c>
      <c r="I398" s="1" t="s">
        <v>1560</v>
      </c>
      <c r="J398" s="77">
        <v>15.0</v>
      </c>
      <c r="K398" s="39"/>
      <c r="L398" s="1" t="s">
        <v>1590</v>
      </c>
      <c r="M398" s="1" t="s">
        <v>1591</v>
      </c>
      <c r="N398" s="1" t="s">
        <v>1205</v>
      </c>
      <c r="O398" s="1" t="s">
        <v>1592</v>
      </c>
      <c r="P398" s="1" t="s">
        <v>716</v>
      </c>
      <c r="Q398" s="1" t="s">
        <v>39</v>
      </c>
      <c r="R398" s="1" t="s">
        <v>1560</v>
      </c>
    </row>
    <row r="399">
      <c r="A399" s="1" t="s">
        <v>1557</v>
      </c>
      <c r="C399" s="1" t="s">
        <v>2236</v>
      </c>
      <c r="D399" s="15" t="s">
        <v>1561</v>
      </c>
      <c r="E399" s="1" t="s">
        <v>1562</v>
      </c>
      <c r="F399" s="15" t="s">
        <v>1563</v>
      </c>
      <c r="G399" s="1" t="s">
        <v>1344</v>
      </c>
      <c r="H399" s="1" t="s">
        <v>44</v>
      </c>
      <c r="I399" s="1" t="s">
        <v>3020</v>
      </c>
      <c r="J399" s="91">
        <v>16.0</v>
      </c>
      <c r="K399" s="39"/>
      <c r="L399" s="1">
        <v>20.0</v>
      </c>
      <c r="M399" s="1" t="s">
        <v>3021</v>
      </c>
      <c r="N399" s="1" t="s">
        <v>3022</v>
      </c>
      <c r="O399" s="1" t="s">
        <v>3023</v>
      </c>
      <c r="P399" s="1" t="s">
        <v>434</v>
      </c>
      <c r="Q399" s="1" t="s">
        <v>39</v>
      </c>
      <c r="R399" s="78" t="s">
        <v>1560</v>
      </c>
    </row>
    <row r="400">
      <c r="A400" s="1" t="s">
        <v>1557</v>
      </c>
      <c r="C400" s="1" t="s">
        <v>2236</v>
      </c>
      <c r="D400" s="15" t="s">
        <v>1565</v>
      </c>
      <c r="E400" s="1" t="s">
        <v>1566</v>
      </c>
      <c r="F400" s="15" t="s">
        <v>3016</v>
      </c>
      <c r="G400" s="1" t="s">
        <v>1568</v>
      </c>
      <c r="H400" s="1" t="s">
        <v>91</v>
      </c>
      <c r="I400" s="1" t="s">
        <v>3020</v>
      </c>
      <c r="J400" s="87">
        <v>17.0</v>
      </c>
      <c r="K400" s="39"/>
      <c r="L400" s="1">
        <v>15.0</v>
      </c>
      <c r="M400" s="1" t="s">
        <v>1585</v>
      </c>
      <c r="N400" s="1" t="s">
        <v>910</v>
      </c>
      <c r="O400" s="1" t="s">
        <v>1593</v>
      </c>
      <c r="P400" s="1" t="s">
        <v>1594</v>
      </c>
      <c r="Q400" s="1" t="s">
        <v>39</v>
      </c>
      <c r="R400" s="1" t="s">
        <v>1560</v>
      </c>
    </row>
    <row r="401">
      <c r="A401" s="1" t="s">
        <v>1557</v>
      </c>
      <c r="C401" s="1" t="s">
        <v>2236</v>
      </c>
      <c r="D401" s="15" t="s">
        <v>1565</v>
      </c>
      <c r="E401" s="1" t="s">
        <v>503</v>
      </c>
      <c r="F401" s="15" t="s">
        <v>1569</v>
      </c>
      <c r="H401" s="1" t="s">
        <v>2388</v>
      </c>
      <c r="I401" s="1" t="s">
        <v>3020</v>
      </c>
      <c r="J401" s="80">
        <v>18.0</v>
      </c>
      <c r="K401" s="39"/>
    </row>
    <row r="402">
      <c r="A402" s="1" t="s">
        <v>1557</v>
      </c>
      <c r="C402" s="1" t="s">
        <v>2236</v>
      </c>
      <c r="D402" s="15" t="s">
        <v>3024</v>
      </c>
      <c r="E402" s="1" t="s">
        <v>2245</v>
      </c>
      <c r="F402" s="15" t="s">
        <v>3025</v>
      </c>
      <c r="G402" s="1" t="s">
        <v>434</v>
      </c>
      <c r="H402" s="1" t="s">
        <v>39</v>
      </c>
      <c r="I402" s="1" t="s">
        <v>3020</v>
      </c>
      <c r="J402" s="126">
        <v>19.0</v>
      </c>
      <c r="K402" s="39"/>
    </row>
    <row r="403">
      <c r="A403" s="1" t="s">
        <v>1557</v>
      </c>
      <c r="C403" s="1" t="s">
        <v>2236</v>
      </c>
      <c r="D403" s="15" t="s">
        <v>3021</v>
      </c>
      <c r="E403" s="1" t="s">
        <v>3022</v>
      </c>
      <c r="F403" s="15" t="s">
        <v>3023</v>
      </c>
      <c r="G403" s="1" t="s">
        <v>434</v>
      </c>
      <c r="H403" s="1" t="s">
        <v>39</v>
      </c>
      <c r="I403" s="1" t="s">
        <v>3020</v>
      </c>
      <c r="J403" s="115">
        <v>20.0</v>
      </c>
      <c r="K403" s="39"/>
    </row>
    <row r="404">
      <c r="A404" s="69"/>
      <c r="B404" s="67"/>
      <c r="C404" s="67"/>
      <c r="D404" s="96"/>
      <c r="E404" s="67"/>
      <c r="F404" s="96"/>
      <c r="G404" s="67"/>
      <c r="H404" s="67"/>
      <c r="I404" s="67"/>
      <c r="J404" s="67"/>
      <c r="K404" s="67"/>
      <c r="L404" s="67"/>
      <c r="M404" s="67"/>
      <c r="N404" s="67"/>
      <c r="O404" s="67"/>
      <c r="P404" s="67"/>
      <c r="Q404" s="67"/>
      <c r="R404" s="67"/>
      <c r="S404" s="67"/>
      <c r="T404" s="67"/>
      <c r="U404" s="67"/>
      <c r="V404" s="67"/>
      <c r="W404" s="67"/>
      <c r="X404" s="67"/>
      <c r="Y404" s="67"/>
      <c r="Z404" s="67"/>
      <c r="AA404" s="67"/>
      <c r="AB404" s="67"/>
      <c r="AC404" s="67"/>
      <c r="AD404" s="67"/>
      <c r="AE404" s="67"/>
    </row>
    <row r="405">
      <c r="A405" s="1" t="s">
        <v>1595</v>
      </c>
      <c r="C405" s="1" t="s">
        <v>2346</v>
      </c>
      <c r="D405" s="15" t="s">
        <v>1596</v>
      </c>
      <c r="E405" s="1" t="s">
        <v>1597</v>
      </c>
      <c r="F405" s="15" t="s">
        <v>1598</v>
      </c>
      <c r="G405" s="1" t="s">
        <v>1599</v>
      </c>
      <c r="H405" s="1" t="s">
        <v>54</v>
      </c>
      <c r="I405" s="1" t="s">
        <v>3026</v>
      </c>
      <c r="J405" s="87">
        <v>1.0</v>
      </c>
      <c r="K405" s="39"/>
      <c r="L405" s="1" t="s">
        <v>1241</v>
      </c>
      <c r="M405" s="1" t="s">
        <v>1596</v>
      </c>
      <c r="N405" s="1" t="s">
        <v>1597</v>
      </c>
      <c r="O405" s="1" t="s">
        <v>1598</v>
      </c>
      <c r="P405" s="1" t="s">
        <v>1599</v>
      </c>
      <c r="Q405" s="1" t="s">
        <v>54</v>
      </c>
      <c r="R405" s="1" t="s">
        <v>3026</v>
      </c>
    </row>
    <row r="406">
      <c r="A406" s="1" t="s">
        <v>1595</v>
      </c>
      <c r="C406" s="1" t="s">
        <v>2346</v>
      </c>
      <c r="D406" s="15" t="s">
        <v>1596</v>
      </c>
      <c r="E406" s="1" t="s">
        <v>1597</v>
      </c>
      <c r="F406" s="15" t="s">
        <v>1601</v>
      </c>
      <c r="G406" s="1" t="s">
        <v>1599</v>
      </c>
      <c r="H406" s="1" t="s">
        <v>54</v>
      </c>
      <c r="I406" s="1" t="s">
        <v>3026</v>
      </c>
      <c r="J406" s="104">
        <v>2.0</v>
      </c>
      <c r="K406" s="39"/>
      <c r="L406" s="1" t="s">
        <v>1114</v>
      </c>
      <c r="M406" s="1" t="s">
        <v>1596</v>
      </c>
      <c r="N406" s="1" t="s">
        <v>1597</v>
      </c>
      <c r="O406" s="1" t="s">
        <v>1601</v>
      </c>
      <c r="P406" s="1" t="s">
        <v>1599</v>
      </c>
      <c r="Q406" s="1" t="s">
        <v>54</v>
      </c>
      <c r="R406" s="1" t="s">
        <v>3026</v>
      </c>
    </row>
    <row r="407">
      <c r="A407" s="1" t="s">
        <v>1595</v>
      </c>
      <c r="C407" s="1" t="s">
        <v>2346</v>
      </c>
      <c r="D407" s="15" t="s">
        <v>1603</v>
      </c>
      <c r="E407" s="1" t="s">
        <v>1205</v>
      </c>
      <c r="F407" s="15" t="s">
        <v>2817</v>
      </c>
      <c r="G407" s="1" t="s">
        <v>716</v>
      </c>
      <c r="H407" s="1" t="s">
        <v>39</v>
      </c>
      <c r="I407" s="1" t="s">
        <v>3026</v>
      </c>
      <c r="J407" s="91">
        <v>3.0</v>
      </c>
      <c r="K407" s="39"/>
      <c r="L407" s="1" t="s">
        <v>1602</v>
      </c>
      <c r="M407" s="1" t="s">
        <v>1603</v>
      </c>
      <c r="N407" s="1" t="s">
        <v>1205</v>
      </c>
      <c r="O407" s="1" t="s">
        <v>1604</v>
      </c>
      <c r="P407" s="1" t="s">
        <v>716</v>
      </c>
      <c r="Q407" s="1" t="s">
        <v>39</v>
      </c>
      <c r="R407" s="1" t="s">
        <v>3026</v>
      </c>
    </row>
    <row r="408">
      <c r="A408" s="1" t="s">
        <v>1595</v>
      </c>
      <c r="C408" s="1" t="s">
        <v>2346</v>
      </c>
      <c r="D408" s="15" t="s">
        <v>1603</v>
      </c>
      <c r="E408" s="1" t="s">
        <v>1205</v>
      </c>
      <c r="F408" s="15" t="s">
        <v>3027</v>
      </c>
      <c r="G408" s="1" t="s">
        <v>716</v>
      </c>
      <c r="H408" s="1" t="s">
        <v>39</v>
      </c>
      <c r="I408" s="1" t="s">
        <v>3026</v>
      </c>
      <c r="J408" s="91">
        <v>4.0</v>
      </c>
      <c r="K408" s="39"/>
      <c r="L408" s="1" t="s">
        <v>1605</v>
      </c>
      <c r="M408" s="1" t="s">
        <v>1606</v>
      </c>
      <c r="N408" s="1" t="s">
        <v>1551</v>
      </c>
      <c r="O408" s="1" t="s">
        <v>1607</v>
      </c>
      <c r="P408" s="1" t="s">
        <v>3028</v>
      </c>
      <c r="Q408" s="1" t="s">
        <v>39</v>
      </c>
      <c r="R408" s="1" t="s">
        <v>3026</v>
      </c>
    </row>
    <row r="409">
      <c r="A409" s="1" t="s">
        <v>1595</v>
      </c>
      <c r="C409" s="1" t="s">
        <v>2346</v>
      </c>
      <c r="D409" s="15" t="s">
        <v>1606</v>
      </c>
      <c r="E409" s="1" t="s">
        <v>1551</v>
      </c>
      <c r="F409" s="15" t="s">
        <v>1607</v>
      </c>
      <c r="G409" s="1" t="s">
        <v>3028</v>
      </c>
      <c r="H409" s="1" t="s">
        <v>39</v>
      </c>
      <c r="I409" s="1" t="s">
        <v>3026</v>
      </c>
      <c r="J409" s="83">
        <v>5.0</v>
      </c>
      <c r="K409" s="39"/>
      <c r="L409" s="1" t="s">
        <v>1609</v>
      </c>
      <c r="M409" s="1" t="s">
        <v>1606</v>
      </c>
      <c r="N409" s="1" t="s">
        <v>1551</v>
      </c>
      <c r="O409" s="1" t="s">
        <v>1610</v>
      </c>
      <c r="P409" s="1" t="s">
        <v>1647</v>
      </c>
      <c r="Q409" s="1" t="s">
        <v>39</v>
      </c>
      <c r="R409" s="1" t="s">
        <v>3026</v>
      </c>
    </row>
    <row r="410">
      <c r="A410" s="1" t="s">
        <v>1595</v>
      </c>
      <c r="C410" s="1" t="s">
        <v>2346</v>
      </c>
      <c r="D410" s="15" t="s">
        <v>1606</v>
      </c>
      <c r="E410" s="1" t="s">
        <v>1551</v>
      </c>
      <c r="F410" s="15" t="s">
        <v>1610</v>
      </c>
      <c r="G410" s="1" t="s">
        <v>1647</v>
      </c>
      <c r="H410" s="1" t="s">
        <v>39</v>
      </c>
      <c r="I410" s="1" t="s">
        <v>3026</v>
      </c>
      <c r="J410" s="83">
        <v>6.0</v>
      </c>
      <c r="K410" s="39"/>
      <c r="L410" s="1" t="s">
        <v>1612</v>
      </c>
      <c r="M410" s="1" t="s">
        <v>1606</v>
      </c>
      <c r="N410" s="1" t="s">
        <v>1551</v>
      </c>
      <c r="O410" s="1" t="s">
        <v>1613</v>
      </c>
      <c r="P410" s="1" t="s">
        <v>3029</v>
      </c>
      <c r="Q410" s="1" t="s">
        <v>39</v>
      </c>
      <c r="R410" s="1" t="s">
        <v>3026</v>
      </c>
    </row>
    <row r="411">
      <c r="A411" s="1" t="s">
        <v>1595</v>
      </c>
      <c r="C411" s="1" t="s">
        <v>2346</v>
      </c>
      <c r="D411" s="15" t="s">
        <v>1606</v>
      </c>
      <c r="E411" s="1" t="s">
        <v>1551</v>
      </c>
      <c r="F411" s="15" t="s">
        <v>1613</v>
      </c>
      <c r="G411" s="1" t="s">
        <v>3029</v>
      </c>
      <c r="H411" s="1" t="s">
        <v>39</v>
      </c>
      <c r="I411" s="1" t="s">
        <v>3026</v>
      </c>
      <c r="J411" s="83">
        <v>7.0</v>
      </c>
      <c r="K411" s="39"/>
      <c r="L411" s="1">
        <v>11.0</v>
      </c>
      <c r="M411" s="1" t="s">
        <v>1615</v>
      </c>
      <c r="O411" s="1" t="s">
        <v>1616</v>
      </c>
      <c r="P411" s="1" t="s">
        <v>1617</v>
      </c>
      <c r="Q411" s="1" t="s">
        <v>39</v>
      </c>
      <c r="R411" s="1" t="s">
        <v>3026</v>
      </c>
    </row>
    <row r="412">
      <c r="A412" s="1" t="s">
        <v>1595</v>
      </c>
      <c r="C412" s="1" t="s">
        <v>2303</v>
      </c>
      <c r="D412" s="15" t="s">
        <v>3030</v>
      </c>
      <c r="F412" s="15" t="s">
        <v>3031</v>
      </c>
      <c r="G412" s="1" t="s">
        <v>3032</v>
      </c>
      <c r="H412" s="1" t="s">
        <v>39</v>
      </c>
      <c r="I412" s="1" t="s">
        <v>3026</v>
      </c>
      <c r="J412" s="83">
        <v>8.0</v>
      </c>
      <c r="K412" s="39"/>
    </row>
    <row r="413">
      <c r="A413" s="1" t="s">
        <v>1595</v>
      </c>
      <c r="C413" s="1" t="s">
        <v>2303</v>
      </c>
      <c r="D413" s="15" t="s">
        <v>3033</v>
      </c>
      <c r="F413" s="15" t="s">
        <v>3034</v>
      </c>
      <c r="G413" s="1" t="s">
        <v>3035</v>
      </c>
      <c r="H413" s="1" t="s">
        <v>39</v>
      </c>
      <c r="I413" s="1" t="s">
        <v>3026</v>
      </c>
      <c r="J413" s="87">
        <v>9.0</v>
      </c>
      <c r="K413" s="39"/>
    </row>
    <row r="414">
      <c r="A414" s="1" t="s">
        <v>1595</v>
      </c>
      <c r="C414" s="1" t="s">
        <v>2303</v>
      </c>
      <c r="D414" s="15" t="s">
        <v>3036</v>
      </c>
      <c r="F414" s="15" t="s">
        <v>3037</v>
      </c>
      <c r="G414" s="1" t="s">
        <v>3038</v>
      </c>
      <c r="H414" s="1" t="s">
        <v>39</v>
      </c>
      <c r="I414" s="1" t="s">
        <v>3026</v>
      </c>
      <c r="J414" s="83">
        <v>10.0</v>
      </c>
      <c r="K414" s="39"/>
    </row>
    <row r="415">
      <c r="A415" s="1" t="s">
        <v>1595</v>
      </c>
      <c r="C415" s="1" t="s">
        <v>2303</v>
      </c>
      <c r="D415" s="15" t="s">
        <v>1615</v>
      </c>
      <c r="F415" s="15" t="s">
        <v>1616</v>
      </c>
      <c r="G415" s="1" t="s">
        <v>1617</v>
      </c>
      <c r="H415" s="1" t="s">
        <v>39</v>
      </c>
      <c r="I415" s="1" t="s">
        <v>3026</v>
      </c>
      <c r="J415" s="1">
        <v>11.0</v>
      </c>
      <c r="K415" s="39"/>
    </row>
    <row r="416">
      <c r="A416" s="69"/>
      <c r="B416" s="67"/>
      <c r="C416" s="67"/>
      <c r="D416" s="96"/>
      <c r="E416" s="67"/>
      <c r="F416" s="96"/>
      <c r="G416" s="67"/>
      <c r="H416" s="67"/>
      <c r="I416" s="67"/>
      <c r="J416" s="67"/>
      <c r="K416" s="67"/>
      <c r="L416" s="67"/>
      <c r="M416" s="67"/>
      <c r="N416" s="67"/>
      <c r="O416" s="67"/>
      <c r="P416" s="67"/>
      <c r="Q416" s="67"/>
      <c r="R416" s="67"/>
      <c r="S416" s="67"/>
      <c r="T416" s="67"/>
      <c r="U416" s="67"/>
      <c r="V416" s="67"/>
      <c r="W416" s="67"/>
      <c r="X416" s="67"/>
      <c r="Y416" s="67"/>
      <c r="Z416" s="67"/>
      <c r="AA416" s="67"/>
      <c r="AB416" s="67"/>
      <c r="AC416" s="67"/>
      <c r="AD416" s="67"/>
      <c r="AE416" s="67"/>
    </row>
    <row r="417">
      <c r="A417" s="1" t="s">
        <v>1618</v>
      </c>
      <c r="C417" s="1" t="s">
        <v>2346</v>
      </c>
      <c r="D417" s="15" t="s">
        <v>1619</v>
      </c>
      <c r="E417" s="1" t="s">
        <v>1205</v>
      </c>
      <c r="F417" s="15" t="s">
        <v>1620</v>
      </c>
      <c r="H417" s="1" t="s">
        <v>39</v>
      </c>
      <c r="I417" s="1" t="s">
        <v>289</v>
      </c>
      <c r="J417" s="127">
        <v>1.0</v>
      </c>
      <c r="K417" s="128"/>
      <c r="L417" s="1">
        <v>1.0</v>
      </c>
      <c r="M417" s="1" t="s">
        <v>1619</v>
      </c>
      <c r="N417" s="1" t="s">
        <v>1205</v>
      </c>
      <c r="O417" s="1" t="s">
        <v>1620</v>
      </c>
      <c r="Q417" s="1" t="s">
        <v>39</v>
      </c>
      <c r="R417" s="1" t="s">
        <v>289</v>
      </c>
    </row>
    <row r="418">
      <c r="A418" s="1" t="s">
        <v>1618</v>
      </c>
      <c r="C418" s="1" t="s">
        <v>2346</v>
      </c>
      <c r="D418" s="15" t="s">
        <v>1622</v>
      </c>
      <c r="E418" s="1" t="s">
        <v>698</v>
      </c>
      <c r="F418" s="15" t="s">
        <v>1623</v>
      </c>
      <c r="G418" s="1" t="s">
        <v>1624</v>
      </c>
      <c r="H418" s="1" t="s">
        <v>54</v>
      </c>
      <c r="I418" s="1" t="s">
        <v>289</v>
      </c>
      <c r="J418" s="86">
        <v>2.0</v>
      </c>
      <c r="K418" s="39"/>
      <c r="L418" s="1">
        <v>2.0</v>
      </c>
      <c r="M418" s="1" t="s">
        <v>1622</v>
      </c>
      <c r="N418" s="1" t="s">
        <v>698</v>
      </c>
      <c r="O418" s="1" t="s">
        <v>1623</v>
      </c>
      <c r="P418" s="1" t="s">
        <v>1624</v>
      </c>
      <c r="Q418" s="1" t="s">
        <v>54</v>
      </c>
      <c r="R418" s="1" t="s">
        <v>289</v>
      </c>
    </row>
    <row r="419">
      <c r="A419" s="1" t="s">
        <v>1618</v>
      </c>
      <c r="C419" s="1" t="s">
        <v>2346</v>
      </c>
      <c r="D419" s="15" t="s">
        <v>1622</v>
      </c>
      <c r="E419" s="1" t="s">
        <v>698</v>
      </c>
      <c r="F419" s="15" t="s">
        <v>1625</v>
      </c>
      <c r="G419" s="1" t="s">
        <v>1624</v>
      </c>
      <c r="H419" s="1" t="s">
        <v>54</v>
      </c>
      <c r="I419" s="1" t="s">
        <v>289</v>
      </c>
      <c r="J419" s="90">
        <v>3.0</v>
      </c>
      <c r="K419" s="39"/>
      <c r="L419" s="1">
        <v>3.0</v>
      </c>
      <c r="M419" s="1" t="s">
        <v>1622</v>
      </c>
      <c r="N419" s="1" t="s">
        <v>698</v>
      </c>
      <c r="O419" s="1" t="s">
        <v>1625</v>
      </c>
      <c r="P419" s="1" t="s">
        <v>1624</v>
      </c>
      <c r="Q419" s="1" t="s">
        <v>54</v>
      </c>
      <c r="R419" s="1" t="s">
        <v>289</v>
      </c>
    </row>
    <row r="420">
      <c r="A420" s="1" t="s">
        <v>1618</v>
      </c>
      <c r="C420" s="1" t="s">
        <v>2346</v>
      </c>
      <c r="D420" s="15" t="s">
        <v>1622</v>
      </c>
      <c r="E420" s="1" t="s">
        <v>698</v>
      </c>
      <c r="F420" s="15" t="s">
        <v>1626</v>
      </c>
      <c r="G420" s="1" t="s">
        <v>1624</v>
      </c>
      <c r="H420" s="1" t="s">
        <v>54</v>
      </c>
      <c r="I420" s="1" t="s">
        <v>289</v>
      </c>
      <c r="J420" s="129">
        <v>4.0</v>
      </c>
      <c r="K420" s="39"/>
      <c r="L420" s="1">
        <v>4.0</v>
      </c>
      <c r="M420" s="1" t="s">
        <v>1622</v>
      </c>
      <c r="N420" s="1" t="s">
        <v>698</v>
      </c>
      <c r="O420" s="1" t="s">
        <v>1626</v>
      </c>
      <c r="P420" s="1" t="s">
        <v>1624</v>
      </c>
      <c r="Q420" s="1" t="s">
        <v>54</v>
      </c>
      <c r="R420" s="1" t="s">
        <v>289</v>
      </c>
    </row>
    <row r="421">
      <c r="A421" s="1" t="s">
        <v>1618</v>
      </c>
      <c r="C421" s="1" t="s">
        <v>2346</v>
      </c>
      <c r="D421" s="15" t="s">
        <v>1622</v>
      </c>
      <c r="E421" s="1" t="s">
        <v>698</v>
      </c>
      <c r="F421" s="15" t="s">
        <v>1627</v>
      </c>
      <c r="G421" s="1" t="s">
        <v>1624</v>
      </c>
      <c r="H421" s="1" t="s">
        <v>54</v>
      </c>
      <c r="I421" s="1" t="s">
        <v>289</v>
      </c>
      <c r="J421" s="102">
        <v>5.0</v>
      </c>
      <c r="K421" s="39"/>
      <c r="L421" s="1">
        <v>5.0</v>
      </c>
      <c r="M421" s="1" t="s">
        <v>1622</v>
      </c>
      <c r="N421" s="1" t="s">
        <v>698</v>
      </c>
      <c r="O421" s="1" t="s">
        <v>1627</v>
      </c>
      <c r="P421" s="1" t="s">
        <v>1624</v>
      </c>
      <c r="Q421" s="1" t="s">
        <v>54</v>
      </c>
      <c r="R421" s="1" t="s">
        <v>289</v>
      </c>
    </row>
    <row r="422">
      <c r="A422" s="1" t="s">
        <v>1618</v>
      </c>
      <c r="C422" s="1" t="s">
        <v>2346</v>
      </c>
      <c r="D422" s="15" t="s">
        <v>1622</v>
      </c>
      <c r="E422" s="1" t="s">
        <v>698</v>
      </c>
      <c r="F422" s="15" t="s">
        <v>1628</v>
      </c>
      <c r="G422" s="1" t="s">
        <v>1624</v>
      </c>
      <c r="H422" s="1" t="s">
        <v>54</v>
      </c>
      <c r="I422" s="1" t="s">
        <v>289</v>
      </c>
      <c r="J422" s="94">
        <v>6.0</v>
      </c>
      <c r="K422" s="39"/>
      <c r="L422" s="1">
        <v>6.0</v>
      </c>
      <c r="M422" s="1" t="s">
        <v>1622</v>
      </c>
      <c r="N422" s="1" t="s">
        <v>698</v>
      </c>
      <c r="O422" s="1" t="s">
        <v>1628</v>
      </c>
      <c r="P422" s="1" t="s">
        <v>1624</v>
      </c>
      <c r="Q422" s="1" t="s">
        <v>54</v>
      </c>
      <c r="R422" s="1" t="s">
        <v>289</v>
      </c>
    </row>
    <row r="423">
      <c r="A423" s="1" t="s">
        <v>1618</v>
      </c>
      <c r="C423" s="1" t="s">
        <v>2346</v>
      </c>
      <c r="D423" s="15" t="s">
        <v>1622</v>
      </c>
      <c r="E423" s="1" t="s">
        <v>698</v>
      </c>
      <c r="F423" s="15" t="s">
        <v>1629</v>
      </c>
      <c r="G423" s="1" t="s">
        <v>1624</v>
      </c>
      <c r="H423" s="1" t="s">
        <v>54</v>
      </c>
      <c r="I423" s="1" t="s">
        <v>289</v>
      </c>
      <c r="J423" s="81">
        <v>7.0</v>
      </c>
      <c r="K423" s="39"/>
      <c r="L423" s="1">
        <v>7.0</v>
      </c>
      <c r="M423" s="1" t="s">
        <v>1622</v>
      </c>
      <c r="N423" s="1" t="s">
        <v>698</v>
      </c>
      <c r="O423" s="1" t="s">
        <v>1629</v>
      </c>
      <c r="P423" s="1" t="s">
        <v>1624</v>
      </c>
      <c r="Q423" s="1" t="s">
        <v>54</v>
      </c>
      <c r="R423" s="1" t="s">
        <v>289</v>
      </c>
    </row>
    <row r="424">
      <c r="A424" s="1" t="s">
        <v>1618</v>
      </c>
      <c r="C424" s="1" t="s">
        <v>2346</v>
      </c>
      <c r="D424" s="15" t="s">
        <v>1622</v>
      </c>
      <c r="E424" s="1" t="s">
        <v>698</v>
      </c>
      <c r="F424" s="15" t="s">
        <v>1630</v>
      </c>
      <c r="G424" s="1" t="s">
        <v>1624</v>
      </c>
      <c r="H424" s="1" t="s">
        <v>54</v>
      </c>
      <c r="I424" s="1" t="s">
        <v>289</v>
      </c>
      <c r="J424" s="74">
        <v>8.0</v>
      </c>
      <c r="K424" s="39"/>
      <c r="L424" s="1">
        <v>8.0</v>
      </c>
      <c r="M424" s="1" t="s">
        <v>1622</v>
      </c>
      <c r="N424" s="1" t="s">
        <v>698</v>
      </c>
      <c r="O424" s="1" t="s">
        <v>1630</v>
      </c>
      <c r="P424" s="1" t="s">
        <v>1624</v>
      </c>
      <c r="Q424" s="1" t="s">
        <v>54</v>
      </c>
      <c r="R424" s="1" t="s">
        <v>289</v>
      </c>
    </row>
    <row r="425">
      <c r="A425" s="1" t="s">
        <v>1618</v>
      </c>
      <c r="C425" s="1" t="s">
        <v>2346</v>
      </c>
      <c r="D425" s="15" t="s">
        <v>1622</v>
      </c>
      <c r="E425" s="1" t="s">
        <v>698</v>
      </c>
      <c r="F425" s="15" t="s">
        <v>1631</v>
      </c>
      <c r="G425" s="1" t="s">
        <v>1624</v>
      </c>
      <c r="H425" s="1" t="s">
        <v>54</v>
      </c>
      <c r="I425" s="1" t="s">
        <v>289</v>
      </c>
      <c r="J425" s="107">
        <v>9.0</v>
      </c>
      <c r="K425" s="39"/>
      <c r="L425" s="1">
        <v>9.0</v>
      </c>
      <c r="M425" s="1" t="s">
        <v>1622</v>
      </c>
      <c r="N425" s="1" t="s">
        <v>698</v>
      </c>
      <c r="O425" s="1" t="s">
        <v>1631</v>
      </c>
      <c r="P425" s="1" t="s">
        <v>1624</v>
      </c>
      <c r="Q425" s="1" t="s">
        <v>54</v>
      </c>
      <c r="R425" s="1" t="s">
        <v>289</v>
      </c>
    </row>
    <row r="426">
      <c r="A426" s="1" t="s">
        <v>1618</v>
      </c>
      <c r="C426" s="1" t="s">
        <v>2346</v>
      </c>
      <c r="D426" s="15" t="s">
        <v>1622</v>
      </c>
      <c r="E426" s="1" t="s">
        <v>698</v>
      </c>
      <c r="F426" s="15" t="s">
        <v>1632</v>
      </c>
      <c r="G426" s="1" t="s">
        <v>1624</v>
      </c>
      <c r="H426" s="1" t="s">
        <v>54</v>
      </c>
      <c r="I426" s="1" t="s">
        <v>289</v>
      </c>
      <c r="J426" s="91">
        <v>10.0</v>
      </c>
      <c r="K426" s="39"/>
      <c r="L426" s="1">
        <v>10.0</v>
      </c>
      <c r="M426" s="1" t="s">
        <v>1622</v>
      </c>
      <c r="N426" s="1" t="s">
        <v>698</v>
      </c>
      <c r="O426" s="1" t="s">
        <v>1632</v>
      </c>
      <c r="P426" s="1" t="s">
        <v>1624</v>
      </c>
      <c r="Q426" s="1" t="s">
        <v>54</v>
      </c>
      <c r="R426" s="1" t="s">
        <v>289</v>
      </c>
    </row>
    <row r="427">
      <c r="A427" s="1" t="s">
        <v>1618</v>
      </c>
      <c r="C427" s="1" t="s">
        <v>2346</v>
      </c>
      <c r="D427" s="15" t="s">
        <v>1638</v>
      </c>
      <c r="E427" s="1" t="s">
        <v>1551</v>
      </c>
      <c r="F427" s="15" t="s">
        <v>3039</v>
      </c>
      <c r="G427" s="1" t="s">
        <v>1647</v>
      </c>
      <c r="H427" s="1" t="s">
        <v>39</v>
      </c>
      <c r="I427" s="1" t="s">
        <v>289</v>
      </c>
      <c r="J427" s="130">
        <v>11.0</v>
      </c>
      <c r="K427" s="39"/>
      <c r="L427" s="1">
        <v>17.0</v>
      </c>
      <c r="M427" s="1" t="s">
        <v>1633</v>
      </c>
      <c r="O427" s="1" t="s">
        <v>1634</v>
      </c>
      <c r="Q427" s="1" t="s">
        <v>44</v>
      </c>
      <c r="R427" s="1" t="s">
        <v>289</v>
      </c>
    </row>
    <row r="428">
      <c r="A428" s="1" t="s">
        <v>1618</v>
      </c>
      <c r="C428" s="1" t="s">
        <v>2346</v>
      </c>
      <c r="D428" s="15" t="s">
        <v>1645</v>
      </c>
      <c r="E428" s="1" t="s">
        <v>1551</v>
      </c>
      <c r="F428" s="15" t="s">
        <v>1646</v>
      </c>
      <c r="G428" s="1" t="s">
        <v>1647</v>
      </c>
      <c r="H428" s="1" t="s">
        <v>39</v>
      </c>
      <c r="I428" s="1" t="s">
        <v>289</v>
      </c>
      <c r="J428" s="93">
        <v>12.0</v>
      </c>
      <c r="K428" s="39"/>
      <c r="L428" s="1">
        <v>18.0</v>
      </c>
      <c r="M428" s="1" t="s">
        <v>1635</v>
      </c>
      <c r="O428" s="1" t="s">
        <v>1636</v>
      </c>
      <c r="P428" s="1" t="s">
        <v>1637</v>
      </c>
      <c r="Q428" s="1" t="s">
        <v>39</v>
      </c>
      <c r="R428" s="1" t="s">
        <v>289</v>
      </c>
    </row>
    <row r="429">
      <c r="A429" s="1" t="s">
        <v>1618</v>
      </c>
      <c r="C429" s="1" t="s">
        <v>2346</v>
      </c>
      <c r="D429" s="15" t="s">
        <v>1642</v>
      </c>
      <c r="E429" s="1" t="s">
        <v>1551</v>
      </c>
      <c r="F429" s="15" t="s">
        <v>3040</v>
      </c>
      <c r="G429" s="1" t="s">
        <v>1647</v>
      </c>
      <c r="H429" s="1" t="s">
        <v>39</v>
      </c>
      <c r="I429" s="1" t="s">
        <v>289</v>
      </c>
      <c r="J429" s="77">
        <v>13.0</v>
      </c>
      <c r="K429" s="39"/>
      <c r="L429" s="1" t="s">
        <v>1459</v>
      </c>
      <c r="M429" s="1" t="s">
        <v>1638</v>
      </c>
      <c r="N429" s="1" t="s">
        <v>1551</v>
      </c>
      <c r="O429" s="1" t="s">
        <v>1639</v>
      </c>
      <c r="P429" s="1" t="s">
        <v>1640</v>
      </c>
      <c r="Q429" s="1" t="s">
        <v>39</v>
      </c>
      <c r="R429" s="1" t="s">
        <v>289</v>
      </c>
    </row>
    <row r="430">
      <c r="A430" s="1" t="s">
        <v>1618</v>
      </c>
      <c r="C430" s="1" t="s">
        <v>2346</v>
      </c>
      <c r="D430" s="15" t="s">
        <v>1657</v>
      </c>
      <c r="E430" s="1" t="s">
        <v>698</v>
      </c>
      <c r="F430" s="15" t="s">
        <v>1660</v>
      </c>
      <c r="G430" s="1" t="s">
        <v>1661</v>
      </c>
      <c r="H430" s="1" t="s">
        <v>14</v>
      </c>
      <c r="I430" s="1" t="s">
        <v>289</v>
      </c>
      <c r="J430" s="104">
        <v>14.0</v>
      </c>
      <c r="K430" s="39"/>
      <c r="L430" s="1" t="s">
        <v>1641</v>
      </c>
      <c r="M430" s="1" t="s">
        <v>1642</v>
      </c>
      <c r="N430" s="1" t="s">
        <v>1551</v>
      </c>
      <c r="O430" s="1" t="s">
        <v>1643</v>
      </c>
      <c r="P430" s="1" t="s">
        <v>1644</v>
      </c>
      <c r="Q430" s="1" t="s">
        <v>39</v>
      </c>
      <c r="R430" s="1" t="s">
        <v>289</v>
      </c>
    </row>
    <row r="431">
      <c r="A431" s="1" t="s">
        <v>1618</v>
      </c>
      <c r="C431" s="1" t="s">
        <v>2346</v>
      </c>
      <c r="D431" s="15" t="s">
        <v>1662</v>
      </c>
      <c r="E431" s="1" t="s">
        <v>1205</v>
      </c>
      <c r="F431" s="15" t="s">
        <v>1663</v>
      </c>
      <c r="G431" s="1" t="s">
        <v>3041</v>
      </c>
      <c r="H431" s="1" t="s">
        <v>39</v>
      </c>
      <c r="I431" s="1" t="s">
        <v>289</v>
      </c>
      <c r="J431" s="116">
        <v>15.0</v>
      </c>
      <c r="K431" s="39"/>
      <c r="L431" s="1">
        <v>12.0</v>
      </c>
      <c r="M431" s="1" t="s">
        <v>1645</v>
      </c>
      <c r="N431" s="1" t="s">
        <v>1551</v>
      </c>
      <c r="O431" s="1" t="s">
        <v>1646</v>
      </c>
      <c r="P431" s="1" t="s">
        <v>1647</v>
      </c>
      <c r="Q431" s="1" t="s">
        <v>39</v>
      </c>
      <c r="R431" s="1" t="s">
        <v>289</v>
      </c>
    </row>
    <row r="432">
      <c r="A432" s="1" t="s">
        <v>1618</v>
      </c>
      <c r="C432" s="1" t="s">
        <v>2346</v>
      </c>
      <c r="D432" s="15" t="s">
        <v>1665</v>
      </c>
      <c r="E432" s="1" t="s">
        <v>698</v>
      </c>
      <c r="F432" s="15" t="s">
        <v>1666</v>
      </c>
      <c r="G432" s="1" t="s">
        <v>1667</v>
      </c>
      <c r="H432" s="1" t="s">
        <v>14</v>
      </c>
      <c r="I432" s="1" t="s">
        <v>289</v>
      </c>
      <c r="J432" s="106">
        <v>16.0</v>
      </c>
      <c r="K432" s="39"/>
      <c r="L432" s="1">
        <v>20.0</v>
      </c>
      <c r="M432" s="1" t="s">
        <v>1648</v>
      </c>
      <c r="N432" s="1" t="s">
        <v>1649</v>
      </c>
      <c r="O432" s="1" t="s">
        <v>1650</v>
      </c>
      <c r="P432" s="1" t="s">
        <v>1651</v>
      </c>
      <c r="Q432" s="1" t="s">
        <v>39</v>
      </c>
      <c r="R432" s="1" t="s">
        <v>289</v>
      </c>
    </row>
    <row r="433">
      <c r="A433" s="1" t="s">
        <v>1618</v>
      </c>
      <c r="C433" s="1" t="s">
        <v>2303</v>
      </c>
      <c r="D433" s="15" t="s">
        <v>1633</v>
      </c>
      <c r="F433" s="15" t="s">
        <v>1634</v>
      </c>
      <c r="H433" s="1" t="s">
        <v>44</v>
      </c>
      <c r="I433" s="1" t="s">
        <v>289</v>
      </c>
      <c r="J433" s="78">
        <v>17.0</v>
      </c>
      <c r="K433" s="39"/>
      <c r="L433" s="1">
        <v>21.0</v>
      </c>
      <c r="M433" s="1" t="s">
        <v>1645</v>
      </c>
      <c r="N433" s="1" t="s">
        <v>1649</v>
      </c>
      <c r="O433" s="1" t="s">
        <v>1652</v>
      </c>
      <c r="P433" s="1" t="s">
        <v>3042</v>
      </c>
      <c r="Q433" s="1" t="s">
        <v>39</v>
      </c>
      <c r="R433" s="1" t="s">
        <v>289</v>
      </c>
    </row>
    <row r="434">
      <c r="A434" s="1" t="s">
        <v>1618</v>
      </c>
      <c r="C434" s="1" t="s">
        <v>2303</v>
      </c>
      <c r="D434" s="15" t="s">
        <v>1635</v>
      </c>
      <c r="F434" s="15" t="s">
        <v>1636</v>
      </c>
      <c r="G434" s="1" t="s">
        <v>1637</v>
      </c>
      <c r="H434" s="1" t="s">
        <v>39</v>
      </c>
      <c r="I434" s="1" t="s">
        <v>289</v>
      </c>
      <c r="J434" s="87">
        <v>18.0</v>
      </c>
      <c r="K434" s="39"/>
      <c r="L434" s="1">
        <v>19.0</v>
      </c>
      <c r="M434" s="1" t="s">
        <v>1645</v>
      </c>
      <c r="N434" s="1" t="s">
        <v>1654</v>
      </c>
      <c r="O434" s="1" t="s">
        <v>1655</v>
      </c>
      <c r="Q434" s="1" t="s">
        <v>39</v>
      </c>
      <c r="R434" s="1" t="s">
        <v>289</v>
      </c>
    </row>
    <row r="435">
      <c r="A435" s="1" t="s">
        <v>1618</v>
      </c>
      <c r="C435" s="1" t="s">
        <v>2303</v>
      </c>
      <c r="D435" s="15" t="s">
        <v>1645</v>
      </c>
      <c r="E435" s="1" t="s">
        <v>1654</v>
      </c>
      <c r="F435" s="15" t="s">
        <v>1655</v>
      </c>
      <c r="H435" s="1" t="s">
        <v>39</v>
      </c>
      <c r="I435" s="1" t="s">
        <v>289</v>
      </c>
      <c r="J435" s="105">
        <v>19.0</v>
      </c>
      <c r="K435" s="39"/>
      <c r="L435" s="1">
        <v>24.0</v>
      </c>
      <c r="M435" s="1" t="s">
        <v>1657</v>
      </c>
      <c r="O435" s="1" t="s">
        <v>1658</v>
      </c>
      <c r="P435" s="1" t="s">
        <v>1659</v>
      </c>
      <c r="Q435" s="1" t="s">
        <v>39</v>
      </c>
      <c r="R435" s="1" t="s">
        <v>289</v>
      </c>
    </row>
    <row r="436">
      <c r="A436" s="1" t="s">
        <v>1618</v>
      </c>
      <c r="C436" s="1" t="s">
        <v>2303</v>
      </c>
      <c r="D436" s="15" t="s">
        <v>1648</v>
      </c>
      <c r="E436" s="1" t="s">
        <v>1649</v>
      </c>
      <c r="F436" s="15" t="s">
        <v>1650</v>
      </c>
      <c r="G436" s="1" t="s">
        <v>1651</v>
      </c>
      <c r="H436" s="1" t="s">
        <v>39</v>
      </c>
      <c r="I436" s="1" t="s">
        <v>289</v>
      </c>
      <c r="J436" s="131">
        <v>20.0</v>
      </c>
      <c r="K436" s="39"/>
      <c r="L436" s="1">
        <v>14.0</v>
      </c>
      <c r="M436" s="1" t="s">
        <v>1657</v>
      </c>
      <c r="N436" s="1" t="s">
        <v>698</v>
      </c>
      <c r="O436" s="1" t="s">
        <v>1660</v>
      </c>
      <c r="P436" s="1" t="s">
        <v>1661</v>
      </c>
      <c r="Q436" s="1" t="s">
        <v>14</v>
      </c>
      <c r="R436" s="1" t="s">
        <v>289</v>
      </c>
    </row>
    <row r="437">
      <c r="A437" s="1" t="s">
        <v>1618</v>
      </c>
      <c r="C437" s="1" t="s">
        <v>2303</v>
      </c>
      <c r="D437" s="15" t="s">
        <v>1645</v>
      </c>
      <c r="E437" s="1" t="s">
        <v>1649</v>
      </c>
      <c r="F437" s="15" t="s">
        <v>1652</v>
      </c>
      <c r="G437" s="1" t="s">
        <v>3042</v>
      </c>
      <c r="H437" s="1" t="s">
        <v>39</v>
      </c>
      <c r="I437" s="1" t="s">
        <v>289</v>
      </c>
      <c r="J437" s="95">
        <v>21.0</v>
      </c>
      <c r="K437" s="39"/>
      <c r="L437" s="1">
        <v>15.0</v>
      </c>
      <c r="M437" s="1" t="s">
        <v>1662</v>
      </c>
      <c r="N437" s="1" t="s">
        <v>1205</v>
      </c>
      <c r="O437" s="1" t="s">
        <v>1663</v>
      </c>
      <c r="P437" s="1" t="s">
        <v>3041</v>
      </c>
      <c r="Q437" s="1" t="s">
        <v>39</v>
      </c>
      <c r="R437" s="1" t="s">
        <v>289</v>
      </c>
    </row>
    <row r="438">
      <c r="A438" s="1" t="s">
        <v>1618</v>
      </c>
      <c r="C438" s="1" t="s">
        <v>2303</v>
      </c>
      <c r="D438" s="15" t="s">
        <v>1638</v>
      </c>
      <c r="E438" s="1" t="s">
        <v>1649</v>
      </c>
      <c r="F438" s="15" t="s">
        <v>3043</v>
      </c>
      <c r="G438" s="1" t="s">
        <v>3044</v>
      </c>
      <c r="H438" s="1" t="s">
        <v>39</v>
      </c>
      <c r="I438" s="1" t="s">
        <v>289</v>
      </c>
      <c r="J438" s="130">
        <v>22.0</v>
      </c>
      <c r="K438" s="39"/>
      <c r="L438" s="1">
        <v>16.0</v>
      </c>
      <c r="M438" s="1" t="s">
        <v>1665</v>
      </c>
      <c r="N438" s="1" t="s">
        <v>698</v>
      </c>
      <c r="O438" s="1" t="s">
        <v>1666</v>
      </c>
      <c r="P438" s="1" t="s">
        <v>1667</v>
      </c>
      <c r="Q438" s="1" t="s">
        <v>14</v>
      </c>
      <c r="R438" s="1" t="s">
        <v>289</v>
      </c>
    </row>
    <row r="439">
      <c r="A439" s="1" t="s">
        <v>1618</v>
      </c>
      <c r="C439" s="1" t="s">
        <v>2303</v>
      </c>
      <c r="D439" s="15" t="s">
        <v>3045</v>
      </c>
      <c r="E439" s="1" t="s">
        <v>1649</v>
      </c>
      <c r="F439" s="15" t="s">
        <v>3046</v>
      </c>
      <c r="G439" s="1" t="s">
        <v>3047</v>
      </c>
      <c r="H439" s="1" t="s">
        <v>39</v>
      </c>
      <c r="I439" s="1" t="s">
        <v>289</v>
      </c>
      <c r="J439" s="77">
        <v>23.0</v>
      </c>
      <c r="K439" s="39"/>
      <c r="L439" s="1">
        <v>25.0</v>
      </c>
      <c r="M439" s="1" t="s">
        <v>1668</v>
      </c>
      <c r="N439" s="1" t="s">
        <v>872</v>
      </c>
      <c r="O439" s="1" t="s">
        <v>1669</v>
      </c>
      <c r="P439" s="1" t="s">
        <v>1670</v>
      </c>
      <c r="Q439" s="1" t="s">
        <v>14</v>
      </c>
      <c r="R439" s="1" t="s">
        <v>289</v>
      </c>
    </row>
    <row r="440">
      <c r="A440" s="1" t="s">
        <v>1618</v>
      </c>
      <c r="C440" s="1" t="s">
        <v>2303</v>
      </c>
      <c r="D440" s="15" t="s">
        <v>1657</v>
      </c>
      <c r="F440" s="15" t="s">
        <v>1658</v>
      </c>
      <c r="G440" s="1" t="s">
        <v>1659</v>
      </c>
      <c r="H440" s="1" t="s">
        <v>39</v>
      </c>
      <c r="I440" s="1" t="s">
        <v>289</v>
      </c>
      <c r="J440" s="109">
        <v>24.0</v>
      </c>
      <c r="K440" s="39"/>
    </row>
    <row r="441">
      <c r="A441" s="1" t="s">
        <v>1618</v>
      </c>
      <c r="C441" s="1" t="s">
        <v>2303</v>
      </c>
      <c r="D441" s="15" t="s">
        <v>1668</v>
      </c>
      <c r="E441" s="1" t="s">
        <v>872</v>
      </c>
      <c r="F441" s="15" t="s">
        <v>1669</v>
      </c>
      <c r="G441" s="1" t="s">
        <v>1670</v>
      </c>
      <c r="H441" s="1" t="s">
        <v>14</v>
      </c>
      <c r="I441" s="1" t="s">
        <v>289</v>
      </c>
      <c r="J441" s="85">
        <v>25.0</v>
      </c>
      <c r="K441" s="39"/>
    </row>
    <row r="442">
      <c r="A442" s="69"/>
      <c r="B442" s="67"/>
      <c r="C442" s="67"/>
      <c r="D442" s="96"/>
      <c r="E442" s="67"/>
      <c r="F442" s="96"/>
      <c r="G442" s="67"/>
      <c r="H442" s="67"/>
      <c r="I442" s="67"/>
      <c r="J442" s="67"/>
      <c r="K442" s="67"/>
      <c r="L442" s="67"/>
      <c r="M442" s="67"/>
      <c r="N442" s="67"/>
      <c r="O442" s="67"/>
      <c r="P442" s="67"/>
      <c r="Q442" s="67"/>
      <c r="R442" s="67"/>
      <c r="S442" s="67"/>
      <c r="T442" s="67"/>
      <c r="U442" s="67"/>
      <c r="V442" s="67"/>
      <c r="W442" s="67"/>
      <c r="X442" s="67"/>
      <c r="Y442" s="67"/>
      <c r="Z442" s="67"/>
      <c r="AA442" s="67"/>
      <c r="AB442" s="67"/>
      <c r="AC442" s="67"/>
      <c r="AD442" s="67"/>
      <c r="AE442" s="67"/>
    </row>
    <row r="443">
      <c r="A443" s="1" t="s">
        <v>1671</v>
      </c>
      <c r="C443" s="1" t="s">
        <v>2346</v>
      </c>
      <c r="D443" s="15" t="s">
        <v>1672</v>
      </c>
      <c r="E443" s="1" t="s">
        <v>1086</v>
      </c>
      <c r="F443" s="15" t="s">
        <v>1673</v>
      </c>
      <c r="G443" s="1" t="s">
        <v>1674</v>
      </c>
      <c r="H443" s="1" t="s">
        <v>20</v>
      </c>
      <c r="I443" s="1" t="s">
        <v>806</v>
      </c>
      <c r="J443" s="89">
        <v>1.0</v>
      </c>
      <c r="K443" s="39"/>
      <c r="L443" s="1">
        <v>1.0</v>
      </c>
      <c r="M443" s="1" t="s">
        <v>1672</v>
      </c>
      <c r="N443" s="1" t="s">
        <v>1086</v>
      </c>
      <c r="O443" s="1" t="s">
        <v>1673</v>
      </c>
      <c r="P443" s="1" t="s">
        <v>1674</v>
      </c>
      <c r="Q443" s="1" t="s">
        <v>20</v>
      </c>
      <c r="R443" s="1" t="s">
        <v>806</v>
      </c>
    </row>
    <row r="444">
      <c r="A444" s="1" t="s">
        <v>1671</v>
      </c>
      <c r="C444" s="1" t="s">
        <v>2346</v>
      </c>
      <c r="D444" s="15" t="s">
        <v>1676</v>
      </c>
      <c r="E444" s="1" t="s">
        <v>1677</v>
      </c>
      <c r="F444" s="15" t="s">
        <v>3048</v>
      </c>
      <c r="G444" s="1" t="s">
        <v>3049</v>
      </c>
      <c r="H444" s="1" t="s">
        <v>54</v>
      </c>
      <c r="I444" s="1" t="s">
        <v>806</v>
      </c>
      <c r="J444" s="122">
        <v>2.0</v>
      </c>
      <c r="K444" s="39"/>
      <c r="L444" s="1" t="s">
        <v>1675</v>
      </c>
      <c r="M444" s="1" t="s">
        <v>1676</v>
      </c>
      <c r="N444" s="1" t="s">
        <v>1677</v>
      </c>
      <c r="O444" s="1" t="s">
        <v>1678</v>
      </c>
      <c r="P444" s="1" t="s">
        <v>1679</v>
      </c>
      <c r="Q444" s="1" t="s">
        <v>54</v>
      </c>
      <c r="R444" s="1" t="s">
        <v>806</v>
      </c>
    </row>
    <row r="445">
      <c r="A445" s="1" t="s">
        <v>1671</v>
      </c>
      <c r="C445" s="1" t="s">
        <v>2346</v>
      </c>
      <c r="D445" s="15" t="s">
        <v>1681</v>
      </c>
      <c r="E445" s="1" t="s">
        <v>1677</v>
      </c>
      <c r="F445" s="15" t="s">
        <v>3050</v>
      </c>
      <c r="G445" s="1" t="s">
        <v>1683</v>
      </c>
      <c r="H445" s="1" t="s">
        <v>54</v>
      </c>
      <c r="I445" s="1" t="s">
        <v>806</v>
      </c>
      <c r="J445" s="124">
        <v>3.0</v>
      </c>
      <c r="K445" s="39"/>
      <c r="L445" s="1" t="s">
        <v>3051</v>
      </c>
      <c r="M445" s="1" t="s">
        <v>1681</v>
      </c>
      <c r="N445" s="1" t="s">
        <v>1677</v>
      </c>
      <c r="O445" s="1" t="s">
        <v>1682</v>
      </c>
      <c r="P445" s="1" t="s">
        <v>1683</v>
      </c>
      <c r="Q445" s="1" t="s">
        <v>54</v>
      </c>
      <c r="R445" s="1" t="s">
        <v>806</v>
      </c>
    </row>
    <row r="446">
      <c r="A446" s="1" t="s">
        <v>1671</v>
      </c>
      <c r="C446" s="1" t="s">
        <v>2346</v>
      </c>
      <c r="D446" s="15" t="s">
        <v>1681</v>
      </c>
      <c r="E446" s="1" t="s">
        <v>1677</v>
      </c>
      <c r="F446" s="15" t="s">
        <v>3052</v>
      </c>
      <c r="G446" s="1" t="s">
        <v>1683</v>
      </c>
      <c r="H446" s="1" t="s">
        <v>54</v>
      </c>
      <c r="I446" s="1" t="s">
        <v>806</v>
      </c>
      <c r="J446" s="124">
        <v>4.0</v>
      </c>
      <c r="K446" s="39"/>
      <c r="L446" s="1" t="s">
        <v>3053</v>
      </c>
      <c r="M446" s="1" t="s">
        <v>1681</v>
      </c>
      <c r="N446" s="1" t="s">
        <v>1677</v>
      </c>
      <c r="O446" s="1" t="s">
        <v>3054</v>
      </c>
      <c r="P446" s="1" t="s">
        <v>1683</v>
      </c>
      <c r="Q446" s="1" t="s">
        <v>54</v>
      </c>
      <c r="R446" s="1" t="s">
        <v>806</v>
      </c>
    </row>
    <row r="447">
      <c r="A447" s="1" t="s">
        <v>1671</v>
      </c>
      <c r="C447" s="1" t="s">
        <v>2346</v>
      </c>
      <c r="D447" s="15" t="s">
        <v>1681</v>
      </c>
      <c r="E447" s="1" t="s">
        <v>1205</v>
      </c>
      <c r="F447" s="15" t="s">
        <v>3055</v>
      </c>
      <c r="G447" s="1" t="s">
        <v>716</v>
      </c>
      <c r="H447" s="1" t="s">
        <v>39</v>
      </c>
      <c r="I447" s="1" t="s">
        <v>806</v>
      </c>
      <c r="J447" s="80">
        <v>5.0</v>
      </c>
      <c r="K447" s="39"/>
      <c r="L447" s="1" t="s">
        <v>999</v>
      </c>
      <c r="M447" s="1" t="s">
        <v>1681</v>
      </c>
      <c r="N447" s="1" t="s">
        <v>1205</v>
      </c>
      <c r="O447" s="1" t="s">
        <v>1684</v>
      </c>
      <c r="P447" s="1" t="s">
        <v>716</v>
      </c>
      <c r="Q447" s="1" t="s">
        <v>39</v>
      </c>
      <c r="R447" s="1" t="s">
        <v>806</v>
      </c>
    </row>
    <row r="448">
      <c r="A448" s="1" t="s">
        <v>1671</v>
      </c>
      <c r="C448" s="1" t="s">
        <v>2346</v>
      </c>
      <c r="D448" s="15" t="s">
        <v>1685</v>
      </c>
      <c r="E448" s="1" t="s">
        <v>698</v>
      </c>
      <c r="F448" s="15" t="s">
        <v>1222</v>
      </c>
      <c r="G448" s="1" t="s">
        <v>1686</v>
      </c>
      <c r="H448" s="1" t="s">
        <v>54</v>
      </c>
      <c r="I448" s="1" t="s">
        <v>806</v>
      </c>
      <c r="J448" s="107">
        <v>6.0</v>
      </c>
      <c r="K448" s="39"/>
      <c r="L448" s="1" t="s">
        <v>1441</v>
      </c>
      <c r="M448" s="1" t="s">
        <v>1685</v>
      </c>
      <c r="N448" s="1" t="s">
        <v>698</v>
      </c>
      <c r="O448" s="1" t="s">
        <v>1222</v>
      </c>
      <c r="P448" s="1" t="s">
        <v>1686</v>
      </c>
      <c r="Q448" s="1" t="s">
        <v>54</v>
      </c>
      <c r="R448" s="1" t="s">
        <v>806</v>
      </c>
    </row>
    <row r="449">
      <c r="A449" s="1" t="s">
        <v>1671</v>
      </c>
      <c r="C449" s="1" t="s">
        <v>2346</v>
      </c>
      <c r="D449" s="15" t="s">
        <v>1685</v>
      </c>
      <c r="E449" s="1" t="s">
        <v>1551</v>
      </c>
      <c r="F449" s="15" t="s">
        <v>1688</v>
      </c>
      <c r="G449" s="1" t="s">
        <v>1647</v>
      </c>
      <c r="H449" s="1" t="s">
        <v>39</v>
      </c>
      <c r="I449" s="1" t="s">
        <v>806</v>
      </c>
      <c r="J449" s="85">
        <v>7.0</v>
      </c>
      <c r="K449" s="39"/>
      <c r="L449" s="1" t="s">
        <v>1687</v>
      </c>
      <c r="M449" s="1" t="s">
        <v>1685</v>
      </c>
      <c r="N449" s="1" t="s">
        <v>1551</v>
      </c>
      <c r="O449" s="1" t="s">
        <v>1688</v>
      </c>
      <c r="P449" s="1" t="s">
        <v>1689</v>
      </c>
      <c r="Q449" s="1" t="s">
        <v>39</v>
      </c>
      <c r="R449" s="1" t="s">
        <v>806</v>
      </c>
    </row>
    <row r="450">
      <c r="A450" s="1" t="s">
        <v>1671</v>
      </c>
      <c r="C450" s="1" t="s">
        <v>2346</v>
      </c>
      <c r="D450" s="15" t="s">
        <v>1685</v>
      </c>
      <c r="E450" s="1" t="s">
        <v>698</v>
      </c>
      <c r="F450" s="15" t="s">
        <v>1690</v>
      </c>
      <c r="G450" s="1" t="s">
        <v>1691</v>
      </c>
      <c r="H450" s="1" t="s">
        <v>54</v>
      </c>
      <c r="I450" s="1" t="s">
        <v>806</v>
      </c>
      <c r="J450" s="103">
        <v>8.0</v>
      </c>
      <c r="K450" s="39"/>
      <c r="L450" s="1">
        <v>8.0</v>
      </c>
      <c r="M450" s="1" t="s">
        <v>1685</v>
      </c>
      <c r="N450" s="1" t="s">
        <v>698</v>
      </c>
      <c r="O450" s="1" t="s">
        <v>1690</v>
      </c>
      <c r="P450" s="1" t="s">
        <v>1691</v>
      </c>
      <c r="Q450" s="1" t="s">
        <v>54</v>
      </c>
      <c r="R450" s="1" t="s">
        <v>806</v>
      </c>
    </row>
    <row r="451">
      <c r="A451" s="1" t="s">
        <v>1671</v>
      </c>
      <c r="C451" s="1" t="s">
        <v>2346</v>
      </c>
      <c r="D451" s="15" t="s">
        <v>1685</v>
      </c>
      <c r="F451" s="15" t="s">
        <v>1692</v>
      </c>
      <c r="G451" s="1" t="s">
        <v>1693</v>
      </c>
      <c r="H451" s="1" t="s">
        <v>39</v>
      </c>
      <c r="I451" s="1" t="s">
        <v>806</v>
      </c>
      <c r="J451" s="74">
        <v>9.0</v>
      </c>
      <c r="K451" s="39"/>
      <c r="L451" s="1">
        <v>9.0</v>
      </c>
      <c r="M451" s="1" t="s">
        <v>1685</v>
      </c>
      <c r="O451" s="1" t="s">
        <v>1692</v>
      </c>
      <c r="P451" s="1" t="s">
        <v>1693</v>
      </c>
      <c r="Q451" s="1" t="s">
        <v>39</v>
      </c>
      <c r="R451" s="1" t="s">
        <v>806</v>
      </c>
    </row>
    <row r="452">
      <c r="A452" s="1" t="s">
        <v>1671</v>
      </c>
      <c r="C452" s="1" t="s">
        <v>2384</v>
      </c>
      <c r="D452" s="15" t="s">
        <v>3056</v>
      </c>
      <c r="E452" s="1" t="s">
        <v>3057</v>
      </c>
      <c r="F452" s="15" t="s">
        <v>3058</v>
      </c>
      <c r="G452" s="1" t="s">
        <v>3059</v>
      </c>
      <c r="H452" s="1" t="s">
        <v>54</v>
      </c>
      <c r="I452" s="1" t="s">
        <v>806</v>
      </c>
      <c r="J452" s="122">
        <v>10.0</v>
      </c>
      <c r="K452" s="39"/>
      <c r="L452" s="1">
        <v>12.0</v>
      </c>
      <c r="M452" s="1" t="s">
        <v>1694</v>
      </c>
      <c r="O452" s="1" t="s">
        <v>584</v>
      </c>
      <c r="P452" s="1" t="s">
        <v>585</v>
      </c>
      <c r="Q452" s="1" t="s">
        <v>54</v>
      </c>
      <c r="R452" s="1" t="s">
        <v>806</v>
      </c>
    </row>
    <row r="453">
      <c r="A453" s="1" t="s">
        <v>1671</v>
      </c>
      <c r="C453" s="1" t="s">
        <v>2384</v>
      </c>
      <c r="D453" s="15" t="s">
        <v>3056</v>
      </c>
      <c r="E453" s="1" t="s">
        <v>3057</v>
      </c>
      <c r="F453" s="15" t="s">
        <v>3060</v>
      </c>
      <c r="G453" s="1" t="s">
        <v>3059</v>
      </c>
      <c r="H453" s="1" t="s">
        <v>54</v>
      </c>
      <c r="I453" s="1" t="s">
        <v>806</v>
      </c>
      <c r="J453" s="122">
        <v>11.0</v>
      </c>
      <c r="K453" s="39"/>
      <c r="L453" s="1">
        <v>16.0</v>
      </c>
      <c r="M453" s="1" t="s">
        <v>1681</v>
      </c>
      <c r="O453" s="1" t="s">
        <v>1695</v>
      </c>
      <c r="P453" s="1" t="s">
        <v>1385</v>
      </c>
      <c r="Q453" s="1" t="s">
        <v>39</v>
      </c>
      <c r="R453" s="1" t="s">
        <v>806</v>
      </c>
    </row>
    <row r="454">
      <c r="A454" s="1" t="s">
        <v>1671</v>
      </c>
      <c r="C454" s="1" t="s">
        <v>2384</v>
      </c>
      <c r="D454" s="15" t="s">
        <v>1694</v>
      </c>
      <c r="F454" s="15" t="s">
        <v>584</v>
      </c>
      <c r="G454" s="1" t="s">
        <v>585</v>
      </c>
      <c r="H454" s="1" t="s">
        <v>54</v>
      </c>
      <c r="I454" s="1" t="s">
        <v>806</v>
      </c>
      <c r="J454" s="93">
        <v>12.0</v>
      </c>
      <c r="K454" s="39"/>
      <c r="L454" s="1">
        <v>19.0</v>
      </c>
      <c r="M454" s="1" t="s">
        <v>1685</v>
      </c>
      <c r="O454" s="1" t="s">
        <v>1698</v>
      </c>
      <c r="P454" s="1" t="s">
        <v>1699</v>
      </c>
      <c r="Q454" s="1" t="s">
        <v>39</v>
      </c>
      <c r="R454" s="1" t="s">
        <v>806</v>
      </c>
    </row>
    <row r="455">
      <c r="A455" s="1" t="s">
        <v>1671</v>
      </c>
      <c r="C455" s="1" t="s">
        <v>2384</v>
      </c>
      <c r="D455" s="15" t="s">
        <v>1681</v>
      </c>
      <c r="F455" s="15" t="s">
        <v>2392</v>
      </c>
      <c r="G455" s="1" t="s">
        <v>364</v>
      </c>
      <c r="H455" s="1" t="s">
        <v>39</v>
      </c>
      <c r="I455" s="1" t="s">
        <v>806</v>
      </c>
      <c r="J455" s="124">
        <v>13.0</v>
      </c>
      <c r="K455" s="39"/>
      <c r="L455" s="1">
        <v>15.0</v>
      </c>
      <c r="M455" s="1" t="s">
        <v>1681</v>
      </c>
      <c r="O455" s="1" t="s">
        <v>1700</v>
      </c>
      <c r="P455" s="1" t="s">
        <v>1701</v>
      </c>
      <c r="Q455" s="1" t="s">
        <v>39</v>
      </c>
      <c r="R455" s="1" t="s">
        <v>806</v>
      </c>
    </row>
    <row r="456">
      <c r="A456" s="1" t="s">
        <v>1671</v>
      </c>
      <c r="C456" s="1" t="s">
        <v>2384</v>
      </c>
      <c r="D456" s="15" t="s">
        <v>1681</v>
      </c>
      <c r="F456" s="15" t="s">
        <v>3061</v>
      </c>
      <c r="G456" s="1" t="s">
        <v>1385</v>
      </c>
      <c r="H456" s="1" t="s">
        <v>39</v>
      </c>
      <c r="I456" s="1" t="s">
        <v>806</v>
      </c>
      <c r="J456" s="80">
        <v>14.0</v>
      </c>
      <c r="K456" s="39"/>
      <c r="L456" s="1">
        <v>20.0</v>
      </c>
      <c r="M456" s="1" t="s">
        <v>1685</v>
      </c>
      <c r="O456" s="1" t="s">
        <v>923</v>
      </c>
      <c r="P456" s="1" t="s">
        <v>585</v>
      </c>
      <c r="Q456" s="8"/>
      <c r="R456" s="1" t="s">
        <v>806</v>
      </c>
    </row>
    <row r="457">
      <c r="A457" s="1" t="s">
        <v>1671</v>
      </c>
      <c r="C457" s="1" t="s">
        <v>2384</v>
      </c>
      <c r="D457" s="15" t="s">
        <v>1681</v>
      </c>
      <c r="F457" s="15" t="s">
        <v>1700</v>
      </c>
      <c r="G457" s="1" t="s">
        <v>1701</v>
      </c>
      <c r="H457" s="1" t="s">
        <v>39</v>
      </c>
      <c r="I457" s="1" t="s">
        <v>806</v>
      </c>
      <c r="J457" s="78">
        <v>15.0</v>
      </c>
      <c r="K457" s="39"/>
      <c r="L457" s="1">
        <v>21.0</v>
      </c>
      <c r="M457" s="1" t="s">
        <v>1702</v>
      </c>
      <c r="O457" s="1" t="s">
        <v>1703</v>
      </c>
      <c r="Q457" s="1" t="s">
        <v>44</v>
      </c>
      <c r="R457" s="1" t="s">
        <v>806</v>
      </c>
    </row>
    <row r="458">
      <c r="A458" s="1" t="s">
        <v>1671</v>
      </c>
      <c r="C458" s="1" t="s">
        <v>2384</v>
      </c>
      <c r="D458" s="15" t="s">
        <v>1681</v>
      </c>
      <c r="F458" s="15" t="s">
        <v>1695</v>
      </c>
      <c r="G458" s="1" t="s">
        <v>1385</v>
      </c>
      <c r="H458" s="1" t="s">
        <v>39</v>
      </c>
      <c r="I458" s="1" t="s">
        <v>806</v>
      </c>
      <c r="J458" s="115">
        <v>16.0</v>
      </c>
      <c r="K458" s="39"/>
      <c r="L458" s="1">
        <v>22.0</v>
      </c>
      <c r="M458" s="1" t="s">
        <v>1705</v>
      </c>
      <c r="O458" s="1" t="s">
        <v>1706</v>
      </c>
      <c r="P458" s="1" t="s">
        <v>1707</v>
      </c>
      <c r="Q458" s="1" t="s">
        <v>44</v>
      </c>
      <c r="R458" s="1" t="s">
        <v>806</v>
      </c>
    </row>
    <row r="459">
      <c r="A459" s="1" t="s">
        <v>1671</v>
      </c>
      <c r="C459" s="1" t="s">
        <v>2384</v>
      </c>
      <c r="D459" s="15" t="s">
        <v>1685</v>
      </c>
      <c r="F459" s="15" t="s">
        <v>2174</v>
      </c>
      <c r="G459" s="1" t="s">
        <v>1376</v>
      </c>
      <c r="H459" s="1" t="s">
        <v>54</v>
      </c>
      <c r="I459" s="1" t="s">
        <v>806</v>
      </c>
      <c r="J459" s="107">
        <v>17.0</v>
      </c>
      <c r="K459" s="39"/>
      <c r="L459" s="1">
        <v>23.0</v>
      </c>
      <c r="M459" s="1" t="s">
        <v>1708</v>
      </c>
      <c r="N459" s="1" t="s">
        <v>1709</v>
      </c>
      <c r="O459" s="1" t="s">
        <v>1710</v>
      </c>
      <c r="P459" s="1" t="s">
        <v>1711</v>
      </c>
      <c r="Q459" s="1" t="s">
        <v>39</v>
      </c>
      <c r="R459" s="1" t="s">
        <v>806</v>
      </c>
    </row>
    <row r="460">
      <c r="A460" s="1" t="s">
        <v>1671</v>
      </c>
      <c r="C460" s="1" t="s">
        <v>2384</v>
      </c>
      <c r="D460" s="15" t="s">
        <v>1685</v>
      </c>
      <c r="F460" s="15" t="s">
        <v>3062</v>
      </c>
      <c r="G460" s="1" t="s">
        <v>3063</v>
      </c>
      <c r="H460" s="1" t="s">
        <v>39</v>
      </c>
      <c r="I460" s="1" t="s">
        <v>806</v>
      </c>
      <c r="J460" s="85">
        <v>18.0</v>
      </c>
      <c r="K460" s="39"/>
    </row>
    <row r="461">
      <c r="A461" s="1" t="s">
        <v>1671</v>
      </c>
      <c r="C461" s="1" t="s">
        <v>2384</v>
      </c>
      <c r="D461" s="15" t="s">
        <v>1685</v>
      </c>
      <c r="F461" s="15" t="s">
        <v>1698</v>
      </c>
      <c r="G461" s="1" t="s">
        <v>1699</v>
      </c>
      <c r="H461" s="1" t="s">
        <v>39</v>
      </c>
      <c r="I461" s="1" t="s">
        <v>806</v>
      </c>
      <c r="J461" s="83">
        <v>19.0</v>
      </c>
      <c r="K461" s="39"/>
    </row>
    <row r="462">
      <c r="A462" s="1" t="s">
        <v>1671</v>
      </c>
      <c r="C462" s="1" t="s">
        <v>2384</v>
      </c>
      <c r="D462" s="15" t="s">
        <v>1685</v>
      </c>
      <c r="F462" s="15" t="s">
        <v>923</v>
      </c>
      <c r="G462" s="1" t="s">
        <v>585</v>
      </c>
      <c r="H462" s="8"/>
      <c r="I462" s="1" t="s">
        <v>806</v>
      </c>
      <c r="J462" s="108">
        <v>20.0</v>
      </c>
      <c r="K462" s="39"/>
    </row>
    <row r="463">
      <c r="A463" s="1" t="s">
        <v>1671</v>
      </c>
      <c r="C463" s="1" t="s">
        <v>2384</v>
      </c>
      <c r="D463" s="15" t="s">
        <v>1702</v>
      </c>
      <c r="F463" s="15" t="s">
        <v>1703</v>
      </c>
      <c r="H463" s="1" t="s">
        <v>20</v>
      </c>
      <c r="I463" s="1" t="s">
        <v>806</v>
      </c>
      <c r="J463" s="77">
        <v>21.0</v>
      </c>
      <c r="K463" s="39"/>
    </row>
    <row r="464">
      <c r="A464" s="1" t="s">
        <v>1671</v>
      </c>
      <c r="C464" s="1" t="s">
        <v>2384</v>
      </c>
      <c r="D464" s="15" t="s">
        <v>1705</v>
      </c>
      <c r="F464" s="15" t="s">
        <v>1706</v>
      </c>
      <c r="G464" s="1" t="s">
        <v>1707</v>
      </c>
      <c r="H464" s="1" t="s">
        <v>44</v>
      </c>
      <c r="I464" s="1" t="s">
        <v>806</v>
      </c>
      <c r="J464" s="126">
        <v>22.0</v>
      </c>
      <c r="K464" s="39"/>
    </row>
    <row r="465">
      <c r="A465" s="1" t="s">
        <v>1671</v>
      </c>
      <c r="C465" s="1" t="s">
        <v>2384</v>
      </c>
      <c r="D465" s="15" t="s">
        <v>1708</v>
      </c>
      <c r="E465" s="1" t="s">
        <v>1709</v>
      </c>
      <c r="F465" s="15" t="s">
        <v>1710</v>
      </c>
      <c r="G465" s="1" t="s">
        <v>1711</v>
      </c>
      <c r="H465" s="1" t="s">
        <v>39</v>
      </c>
      <c r="I465" s="1" t="s">
        <v>806</v>
      </c>
      <c r="J465" s="106">
        <v>23.0</v>
      </c>
      <c r="K465" s="39"/>
    </row>
    <row r="466">
      <c r="A466" s="69"/>
      <c r="B466" s="67"/>
      <c r="C466" s="67"/>
      <c r="D466" s="96"/>
      <c r="E466" s="67"/>
      <c r="F466" s="96"/>
      <c r="G466" s="67"/>
      <c r="H466" s="67"/>
      <c r="I466" s="67"/>
      <c r="J466" s="67"/>
      <c r="K466" s="67"/>
      <c r="L466" s="67"/>
      <c r="M466" s="67"/>
      <c r="N466" s="67"/>
      <c r="O466" s="67"/>
      <c r="P466" s="67"/>
      <c r="Q466" s="67"/>
      <c r="R466" s="67"/>
      <c r="S466" s="67"/>
      <c r="T466" s="67"/>
      <c r="U466" s="67"/>
      <c r="V466" s="67"/>
      <c r="W466" s="67"/>
      <c r="X466" s="67"/>
      <c r="Y466" s="67"/>
      <c r="Z466" s="67"/>
      <c r="AA466" s="67"/>
      <c r="AB466" s="67"/>
      <c r="AC466" s="67"/>
      <c r="AD466" s="67"/>
      <c r="AE466" s="67"/>
    </row>
    <row r="467">
      <c r="A467" s="1" t="s">
        <v>1712</v>
      </c>
      <c r="C467" s="1" t="s">
        <v>2346</v>
      </c>
      <c r="D467" s="15" t="s">
        <v>1713</v>
      </c>
      <c r="E467" s="1" t="s">
        <v>910</v>
      </c>
      <c r="F467" s="15" t="s">
        <v>1714</v>
      </c>
      <c r="G467" s="1" t="s">
        <v>1715</v>
      </c>
      <c r="H467" s="1" t="s">
        <v>14</v>
      </c>
      <c r="I467" s="1" t="s">
        <v>1716</v>
      </c>
      <c r="J467" s="83">
        <v>1.0</v>
      </c>
      <c r="K467" s="39"/>
      <c r="L467" s="1">
        <v>1.0</v>
      </c>
      <c r="M467" s="1" t="s">
        <v>1713</v>
      </c>
      <c r="N467" s="1" t="s">
        <v>910</v>
      </c>
      <c r="O467" s="1" t="s">
        <v>1714</v>
      </c>
      <c r="P467" s="1" t="s">
        <v>1715</v>
      </c>
      <c r="Q467" s="1" t="s">
        <v>14</v>
      </c>
      <c r="R467" s="1" t="s">
        <v>1716</v>
      </c>
    </row>
    <row r="468">
      <c r="A468" s="1" t="s">
        <v>1712</v>
      </c>
      <c r="C468" s="1" t="s">
        <v>2346</v>
      </c>
      <c r="D468" s="15" t="s">
        <v>1717</v>
      </c>
      <c r="E468" s="1" t="s">
        <v>1718</v>
      </c>
      <c r="F468" s="15" t="s">
        <v>1719</v>
      </c>
      <c r="G468" s="1" t="s">
        <v>1720</v>
      </c>
      <c r="H468" s="1" t="s">
        <v>54</v>
      </c>
      <c r="I468" s="1" t="s">
        <v>1716</v>
      </c>
      <c r="J468" s="80">
        <v>2.0</v>
      </c>
      <c r="K468" s="39"/>
      <c r="L468" s="1">
        <v>2.0</v>
      </c>
      <c r="M468" s="1" t="s">
        <v>1717</v>
      </c>
      <c r="N468" s="1" t="s">
        <v>1718</v>
      </c>
      <c r="O468" s="1" t="s">
        <v>1719</v>
      </c>
      <c r="P468" s="1" t="s">
        <v>1720</v>
      </c>
      <c r="Q468" s="1" t="s">
        <v>54</v>
      </c>
      <c r="R468" s="1" t="s">
        <v>1716</v>
      </c>
    </row>
    <row r="469">
      <c r="A469" s="1" t="s">
        <v>1712</v>
      </c>
      <c r="C469" s="1" t="s">
        <v>2346</v>
      </c>
      <c r="D469" s="15" t="s">
        <v>1717</v>
      </c>
      <c r="E469" s="1" t="s">
        <v>1721</v>
      </c>
      <c r="F469" s="15" t="s">
        <v>1722</v>
      </c>
      <c r="G469" s="1" t="s">
        <v>1723</v>
      </c>
      <c r="H469" s="1" t="s">
        <v>54</v>
      </c>
      <c r="I469" s="1" t="s">
        <v>1716</v>
      </c>
      <c r="J469" s="92">
        <v>3.0</v>
      </c>
      <c r="K469" s="39"/>
      <c r="L469" s="1">
        <v>3.0</v>
      </c>
      <c r="M469" s="1" t="s">
        <v>1717</v>
      </c>
      <c r="N469" s="1" t="s">
        <v>1721</v>
      </c>
      <c r="O469" s="1" t="s">
        <v>1722</v>
      </c>
      <c r="P469" s="1" t="s">
        <v>1723</v>
      </c>
      <c r="Q469" s="1" t="s">
        <v>54</v>
      </c>
      <c r="R469" s="1" t="s">
        <v>1716</v>
      </c>
    </row>
    <row r="470">
      <c r="A470" s="1" t="s">
        <v>1712</v>
      </c>
      <c r="C470" s="1" t="s">
        <v>2384</v>
      </c>
      <c r="D470" s="15" t="s">
        <v>1724</v>
      </c>
      <c r="F470" s="15" t="s">
        <v>1725</v>
      </c>
      <c r="G470" s="1" t="s">
        <v>1726</v>
      </c>
      <c r="H470" s="1" t="s">
        <v>54</v>
      </c>
      <c r="I470" s="1" t="s">
        <v>3064</v>
      </c>
      <c r="J470" s="87">
        <v>4.0</v>
      </c>
      <c r="K470" s="39"/>
      <c r="L470" s="1">
        <v>4.0</v>
      </c>
      <c r="M470" s="1" t="s">
        <v>1724</v>
      </c>
      <c r="O470" s="1" t="s">
        <v>1725</v>
      </c>
      <c r="P470" s="1" t="s">
        <v>1726</v>
      </c>
      <c r="Q470" s="1" t="s">
        <v>54</v>
      </c>
      <c r="R470" s="1" t="s">
        <v>3064</v>
      </c>
    </row>
    <row r="471">
      <c r="A471" s="1" t="s">
        <v>1712</v>
      </c>
      <c r="C471" s="1" t="s">
        <v>2384</v>
      </c>
      <c r="D471" s="15" t="s">
        <v>1727</v>
      </c>
      <c r="F471" s="15" t="s">
        <v>1728</v>
      </c>
      <c r="G471" s="1" t="s">
        <v>585</v>
      </c>
      <c r="H471" s="1" t="s">
        <v>54</v>
      </c>
      <c r="I471" s="1" t="s">
        <v>3064</v>
      </c>
      <c r="J471" s="78">
        <v>5.0</v>
      </c>
      <c r="K471" s="39"/>
      <c r="L471" s="1">
        <v>5.0</v>
      </c>
      <c r="M471" s="1" t="s">
        <v>1727</v>
      </c>
      <c r="O471" s="1" t="s">
        <v>1728</v>
      </c>
      <c r="P471" s="1" t="s">
        <v>585</v>
      </c>
      <c r="Q471" s="1" t="s">
        <v>54</v>
      </c>
      <c r="R471" s="1" t="s">
        <v>1716</v>
      </c>
    </row>
    <row r="472">
      <c r="A472" s="1" t="s">
        <v>1712</v>
      </c>
      <c r="C472" s="1" t="s">
        <v>2384</v>
      </c>
      <c r="D472" s="15" t="s">
        <v>1727</v>
      </c>
      <c r="F472" s="15" t="s">
        <v>1729</v>
      </c>
      <c r="G472" s="1" t="s">
        <v>1730</v>
      </c>
      <c r="H472" s="1" t="s">
        <v>54</v>
      </c>
      <c r="I472" s="1" t="s">
        <v>3064</v>
      </c>
      <c r="J472" s="91">
        <v>6.0</v>
      </c>
      <c r="K472" s="39"/>
      <c r="L472" s="1">
        <v>6.0</v>
      </c>
      <c r="M472" s="1" t="s">
        <v>1727</v>
      </c>
      <c r="O472" s="1" t="s">
        <v>1729</v>
      </c>
      <c r="P472" s="1" t="s">
        <v>1730</v>
      </c>
      <c r="Q472" s="1" t="s">
        <v>54</v>
      </c>
      <c r="R472" s="1" t="s">
        <v>1716</v>
      </c>
    </row>
    <row r="473">
      <c r="A473" s="1" t="s">
        <v>1712</v>
      </c>
      <c r="C473" s="1" t="s">
        <v>2384</v>
      </c>
      <c r="D473" s="15" t="s">
        <v>1727</v>
      </c>
      <c r="F473" s="15" t="s">
        <v>1731</v>
      </c>
      <c r="G473" s="1" t="s">
        <v>585</v>
      </c>
      <c r="H473" s="1" t="s">
        <v>54</v>
      </c>
      <c r="I473" s="1" t="s">
        <v>3064</v>
      </c>
      <c r="J473" s="79">
        <v>7.0</v>
      </c>
      <c r="K473" s="39"/>
      <c r="L473" s="1">
        <v>7.0</v>
      </c>
      <c r="M473" s="1" t="s">
        <v>1727</v>
      </c>
      <c r="O473" s="1" t="s">
        <v>1731</v>
      </c>
      <c r="P473" s="1" t="s">
        <v>585</v>
      </c>
      <c r="Q473" s="1" t="s">
        <v>54</v>
      </c>
      <c r="R473" s="1" t="s">
        <v>1716</v>
      </c>
    </row>
    <row r="474">
      <c r="A474" s="1" t="s">
        <v>1712</v>
      </c>
      <c r="C474" s="1" t="s">
        <v>2384</v>
      </c>
      <c r="D474" s="15" t="s">
        <v>1727</v>
      </c>
      <c r="F474" s="15" t="s">
        <v>1732</v>
      </c>
      <c r="G474" s="1" t="s">
        <v>1733</v>
      </c>
      <c r="H474" s="1" t="s">
        <v>44</v>
      </c>
      <c r="I474" s="1" t="s">
        <v>3064</v>
      </c>
      <c r="J474" s="81">
        <v>8.0</v>
      </c>
      <c r="K474" s="39"/>
      <c r="L474" s="1">
        <v>8.0</v>
      </c>
      <c r="M474" s="1" t="s">
        <v>1727</v>
      </c>
      <c r="O474" s="1" t="s">
        <v>1732</v>
      </c>
      <c r="P474" s="1" t="s">
        <v>1733</v>
      </c>
      <c r="Q474" s="1" t="s">
        <v>44</v>
      </c>
      <c r="R474" s="1" t="s">
        <v>1716</v>
      </c>
    </row>
    <row r="475">
      <c r="A475" s="1" t="s">
        <v>1712</v>
      </c>
      <c r="C475" s="1" t="s">
        <v>2384</v>
      </c>
      <c r="D475" s="15" t="s">
        <v>1734</v>
      </c>
      <c r="F475" s="15" t="s">
        <v>1735</v>
      </c>
      <c r="H475" s="1" t="s">
        <v>39</v>
      </c>
      <c r="I475" s="1" t="s">
        <v>3064</v>
      </c>
      <c r="J475" s="84">
        <v>9.0</v>
      </c>
      <c r="K475" s="39"/>
      <c r="L475" s="1">
        <v>9.0</v>
      </c>
      <c r="M475" s="1" t="s">
        <v>1734</v>
      </c>
      <c r="O475" s="1" t="s">
        <v>1735</v>
      </c>
      <c r="Q475" s="1" t="s">
        <v>39</v>
      </c>
      <c r="R475" s="1" t="s">
        <v>1716</v>
      </c>
    </row>
    <row r="476">
      <c r="A476" s="1" t="s">
        <v>1712</v>
      </c>
      <c r="C476" s="1" t="s">
        <v>2384</v>
      </c>
      <c r="D476" s="15" t="s">
        <v>1734</v>
      </c>
      <c r="F476" s="15" t="s">
        <v>3065</v>
      </c>
      <c r="G476" s="1" t="s">
        <v>1737</v>
      </c>
      <c r="H476" s="1" t="s">
        <v>39</v>
      </c>
      <c r="I476" s="1" t="s">
        <v>3064</v>
      </c>
      <c r="J476" s="86">
        <v>10.0</v>
      </c>
      <c r="K476" s="39"/>
      <c r="L476" s="1">
        <v>10.0</v>
      </c>
      <c r="M476" s="1" t="s">
        <v>1734</v>
      </c>
      <c r="O476" s="1" t="s">
        <v>3065</v>
      </c>
      <c r="P476" s="1" t="s">
        <v>1737</v>
      </c>
      <c r="Q476" s="1" t="s">
        <v>39</v>
      </c>
      <c r="R476" s="1" t="s">
        <v>1716</v>
      </c>
    </row>
    <row r="477">
      <c r="A477" s="69"/>
      <c r="B477" s="67"/>
      <c r="C477" s="67"/>
      <c r="D477" s="96"/>
      <c r="E477" s="67"/>
      <c r="F477" s="96"/>
      <c r="G477" s="67"/>
      <c r="H477" s="67"/>
      <c r="I477" s="67"/>
      <c r="J477" s="67"/>
      <c r="K477" s="67"/>
      <c r="L477" s="67"/>
      <c r="M477" s="67"/>
      <c r="N477" s="67"/>
      <c r="O477" s="67"/>
      <c r="P477" s="67"/>
      <c r="Q477" s="67"/>
      <c r="R477" s="67"/>
      <c r="S477" s="67"/>
      <c r="T477" s="67"/>
      <c r="U477" s="67"/>
      <c r="V477" s="67"/>
      <c r="W477" s="67"/>
      <c r="X477" s="67"/>
      <c r="Y477" s="67"/>
      <c r="Z477" s="67"/>
      <c r="AA477" s="67"/>
      <c r="AB477" s="67"/>
      <c r="AC477" s="67"/>
      <c r="AD477" s="67"/>
      <c r="AE477" s="67"/>
    </row>
    <row r="478">
      <c r="A478" s="1" t="s">
        <v>1738</v>
      </c>
      <c r="C478" s="1" t="s">
        <v>2236</v>
      </c>
      <c r="D478" s="15" t="s">
        <v>1739</v>
      </c>
      <c r="E478" s="1" t="s">
        <v>1740</v>
      </c>
      <c r="F478" s="15" t="s">
        <v>1741</v>
      </c>
      <c r="G478" s="1" t="s">
        <v>1344</v>
      </c>
      <c r="H478" s="1" t="s">
        <v>44</v>
      </c>
      <c r="I478" s="1" t="s">
        <v>372</v>
      </c>
      <c r="J478" s="1">
        <v>1.0</v>
      </c>
      <c r="K478" s="39"/>
      <c r="L478" s="1">
        <v>1.0</v>
      </c>
      <c r="M478" s="1" t="s">
        <v>1739</v>
      </c>
      <c r="N478" s="1" t="s">
        <v>1740</v>
      </c>
      <c r="O478" s="1" t="s">
        <v>1741</v>
      </c>
      <c r="P478" s="1" t="s">
        <v>1344</v>
      </c>
      <c r="Q478" s="1" t="s">
        <v>44</v>
      </c>
      <c r="R478" s="1" t="s">
        <v>372</v>
      </c>
    </row>
    <row r="479">
      <c r="A479" s="1" t="s">
        <v>1738</v>
      </c>
      <c r="C479" s="1" t="s">
        <v>2236</v>
      </c>
      <c r="D479" s="15" t="s">
        <v>1742</v>
      </c>
      <c r="E479" s="1" t="s">
        <v>1743</v>
      </c>
      <c r="F479" s="15" t="s">
        <v>2419</v>
      </c>
      <c r="G479" s="1" t="s">
        <v>1745</v>
      </c>
      <c r="H479" s="1" t="s">
        <v>39</v>
      </c>
      <c r="I479" s="1" t="s">
        <v>372</v>
      </c>
      <c r="J479" s="1">
        <v>2.0</v>
      </c>
      <c r="K479" s="39"/>
      <c r="L479" s="1">
        <v>2.0</v>
      </c>
      <c r="M479" s="1" t="s">
        <v>1742</v>
      </c>
      <c r="N479" s="1" t="s">
        <v>1743</v>
      </c>
      <c r="O479" s="1" t="s">
        <v>2419</v>
      </c>
      <c r="P479" s="1" t="s">
        <v>1745</v>
      </c>
      <c r="Q479" s="1" t="s">
        <v>39</v>
      </c>
      <c r="R479" s="1" t="s">
        <v>372</v>
      </c>
    </row>
    <row r="480">
      <c r="A480" s="1" t="s">
        <v>1738</v>
      </c>
      <c r="C480" s="1" t="s">
        <v>2303</v>
      </c>
      <c r="D480" s="15" t="s">
        <v>1746</v>
      </c>
      <c r="F480" s="15" t="s">
        <v>1747</v>
      </c>
      <c r="H480" s="1" t="s">
        <v>39</v>
      </c>
      <c r="I480" s="1" t="s">
        <v>289</v>
      </c>
      <c r="J480" s="1">
        <v>3.0</v>
      </c>
      <c r="K480" s="39"/>
      <c r="L480" s="1">
        <v>3.0</v>
      </c>
      <c r="M480" s="1" t="s">
        <v>1746</v>
      </c>
      <c r="O480" s="1" t="s">
        <v>1747</v>
      </c>
      <c r="Q480" s="1" t="s">
        <v>39</v>
      </c>
      <c r="R480" s="81" t="s">
        <v>372</v>
      </c>
    </row>
    <row r="481">
      <c r="A481" s="1" t="s">
        <v>1738</v>
      </c>
      <c r="C481" s="1" t="s">
        <v>2303</v>
      </c>
      <c r="D481" s="15" t="s">
        <v>1749</v>
      </c>
      <c r="F481" s="15" t="s">
        <v>1750</v>
      </c>
      <c r="G481" s="1" t="s">
        <v>3066</v>
      </c>
      <c r="H481" s="1" t="s">
        <v>39</v>
      </c>
      <c r="I481" s="1" t="s">
        <v>289</v>
      </c>
      <c r="J481" s="1">
        <v>4.0</v>
      </c>
      <c r="K481" s="39"/>
      <c r="L481" s="1">
        <v>4.0</v>
      </c>
      <c r="M481" s="1" t="s">
        <v>1749</v>
      </c>
      <c r="O481" s="1" t="s">
        <v>1750</v>
      </c>
      <c r="P481" s="1" t="s">
        <v>3066</v>
      </c>
      <c r="Q481" s="1" t="s">
        <v>39</v>
      </c>
      <c r="R481" s="81" t="s">
        <v>372</v>
      </c>
    </row>
    <row r="482">
      <c r="A482" s="1" t="s">
        <v>1738</v>
      </c>
      <c r="C482" s="1" t="s">
        <v>2303</v>
      </c>
      <c r="D482" s="15" t="s">
        <v>1752</v>
      </c>
      <c r="F482" s="15" t="s">
        <v>3067</v>
      </c>
      <c r="G482" s="1" t="s">
        <v>3068</v>
      </c>
      <c r="H482" s="1" t="s">
        <v>44</v>
      </c>
      <c r="I482" s="1" t="s">
        <v>1826</v>
      </c>
      <c r="J482" s="1">
        <v>5.0</v>
      </c>
      <c r="K482" s="39"/>
      <c r="L482" s="1">
        <v>5.0</v>
      </c>
      <c r="M482" s="1" t="s">
        <v>1752</v>
      </c>
      <c r="O482" s="1" t="s">
        <v>3067</v>
      </c>
      <c r="P482" s="1" t="s">
        <v>3068</v>
      </c>
      <c r="Q482" s="1" t="s">
        <v>44</v>
      </c>
      <c r="R482" s="81" t="s">
        <v>372</v>
      </c>
    </row>
    <row r="483">
      <c r="A483" s="69"/>
      <c r="B483" s="67"/>
      <c r="C483" s="67"/>
      <c r="D483" s="96"/>
      <c r="E483" s="67"/>
      <c r="F483" s="96"/>
      <c r="G483" s="67"/>
      <c r="H483" s="67"/>
      <c r="I483" s="67"/>
      <c r="J483" s="67"/>
      <c r="K483" s="67"/>
      <c r="L483" s="67"/>
      <c r="M483" s="67"/>
      <c r="N483" s="67"/>
      <c r="O483" s="67"/>
      <c r="P483" s="67"/>
      <c r="Q483" s="67"/>
      <c r="R483" s="67"/>
      <c r="S483" s="67"/>
      <c r="T483" s="67"/>
      <c r="U483" s="67"/>
      <c r="V483" s="67"/>
      <c r="W483" s="67"/>
      <c r="X483" s="67"/>
      <c r="Y483" s="67"/>
      <c r="Z483" s="67"/>
      <c r="AA483" s="67"/>
      <c r="AB483" s="67"/>
      <c r="AC483" s="67"/>
      <c r="AD483" s="67"/>
      <c r="AE483" s="67"/>
    </row>
    <row r="484">
      <c r="A484" s="1" t="s">
        <v>1755</v>
      </c>
      <c r="C484" s="1" t="s">
        <v>2236</v>
      </c>
      <c r="D484" s="15" t="s">
        <v>1756</v>
      </c>
      <c r="E484" s="1" t="s">
        <v>1757</v>
      </c>
      <c r="F484" s="15" t="s">
        <v>1758</v>
      </c>
      <c r="G484" s="1" t="s">
        <v>1524</v>
      </c>
      <c r="H484" s="1" t="s">
        <v>20</v>
      </c>
      <c r="I484" s="1" t="s">
        <v>938</v>
      </c>
      <c r="J484" s="91">
        <v>1.0</v>
      </c>
      <c r="K484" s="39"/>
      <c r="L484" s="1">
        <v>1.0</v>
      </c>
      <c r="M484" s="1" t="s">
        <v>1756</v>
      </c>
      <c r="N484" s="1" t="s">
        <v>1757</v>
      </c>
      <c r="O484" s="1" t="s">
        <v>1758</v>
      </c>
      <c r="P484" s="1" t="s">
        <v>1524</v>
      </c>
      <c r="Q484" s="1" t="s">
        <v>20</v>
      </c>
      <c r="R484" s="1" t="s">
        <v>938</v>
      </c>
    </row>
    <row r="485">
      <c r="A485" s="1" t="s">
        <v>1755</v>
      </c>
      <c r="C485" s="1" t="s">
        <v>2236</v>
      </c>
      <c r="D485" s="15" t="s">
        <v>1759</v>
      </c>
      <c r="E485" s="1" t="s">
        <v>1757</v>
      </c>
      <c r="F485" s="15" t="s">
        <v>1760</v>
      </c>
      <c r="G485" s="1" t="s">
        <v>3069</v>
      </c>
      <c r="H485" s="1" t="s">
        <v>20</v>
      </c>
      <c r="I485" s="1" t="s">
        <v>938</v>
      </c>
      <c r="J485" s="92">
        <v>2.0</v>
      </c>
      <c r="K485" s="39"/>
      <c r="L485" s="1">
        <v>2.0</v>
      </c>
      <c r="M485" s="1" t="s">
        <v>1759</v>
      </c>
      <c r="N485" s="1" t="s">
        <v>1757</v>
      </c>
      <c r="O485" s="1" t="s">
        <v>1760</v>
      </c>
      <c r="P485" s="1" t="s">
        <v>3069</v>
      </c>
      <c r="Q485" s="1" t="s">
        <v>20</v>
      </c>
      <c r="R485" s="1" t="s">
        <v>938</v>
      </c>
    </row>
    <row r="486">
      <c r="A486" s="1" t="s">
        <v>1755</v>
      </c>
      <c r="C486" s="1" t="s">
        <v>2236</v>
      </c>
      <c r="D486" s="15" t="s">
        <v>1763</v>
      </c>
      <c r="E486" s="1" t="s">
        <v>1764</v>
      </c>
      <c r="F486" s="15" t="s">
        <v>440</v>
      </c>
      <c r="G486" s="1" t="s">
        <v>434</v>
      </c>
      <c r="H486" s="1" t="s">
        <v>39</v>
      </c>
      <c r="I486" s="1" t="s">
        <v>938</v>
      </c>
      <c r="J486" s="117">
        <v>3.0</v>
      </c>
      <c r="K486" s="39"/>
      <c r="L486" s="1" t="s">
        <v>1762</v>
      </c>
      <c r="M486" s="1" t="s">
        <v>1763</v>
      </c>
      <c r="N486" s="1" t="s">
        <v>1764</v>
      </c>
      <c r="O486" s="1" t="s">
        <v>440</v>
      </c>
      <c r="P486" s="1" t="s">
        <v>434</v>
      </c>
      <c r="Q486" s="1" t="s">
        <v>39</v>
      </c>
      <c r="R486" s="1" t="s">
        <v>938</v>
      </c>
    </row>
    <row r="487">
      <c r="A487" s="1" t="s">
        <v>1755</v>
      </c>
      <c r="C487" s="1" t="s">
        <v>2236</v>
      </c>
      <c r="D487" s="15" t="s">
        <v>1765</v>
      </c>
      <c r="E487" s="1" t="s">
        <v>1766</v>
      </c>
      <c r="F487" s="15" t="s">
        <v>1767</v>
      </c>
      <c r="G487" s="1" t="s">
        <v>434</v>
      </c>
      <c r="H487" s="1" t="s">
        <v>39</v>
      </c>
      <c r="I487" s="1" t="s">
        <v>938</v>
      </c>
      <c r="J487" s="105">
        <v>4.0</v>
      </c>
      <c r="K487" s="39"/>
      <c r="L487" s="1" t="s">
        <v>1042</v>
      </c>
      <c r="M487" s="1" t="s">
        <v>1765</v>
      </c>
      <c r="N487" s="1" t="s">
        <v>1766</v>
      </c>
      <c r="O487" s="1" t="s">
        <v>1767</v>
      </c>
      <c r="P487" s="1" t="s">
        <v>434</v>
      </c>
      <c r="Q487" s="1" t="s">
        <v>39</v>
      </c>
      <c r="R487" s="1" t="s">
        <v>938</v>
      </c>
    </row>
    <row r="488">
      <c r="A488" s="1" t="s">
        <v>1755</v>
      </c>
      <c r="C488" s="1" t="s">
        <v>2303</v>
      </c>
      <c r="D488" s="15" t="s">
        <v>1771</v>
      </c>
      <c r="F488" s="15" t="s">
        <v>1772</v>
      </c>
      <c r="G488" s="1" t="s">
        <v>1773</v>
      </c>
      <c r="H488" s="1" t="s">
        <v>44</v>
      </c>
      <c r="I488" s="1" t="s">
        <v>938</v>
      </c>
      <c r="J488" s="85">
        <v>5.0</v>
      </c>
      <c r="K488" s="39"/>
      <c r="L488" s="1">
        <v>7.0</v>
      </c>
      <c r="M488" s="1" t="s">
        <v>1768</v>
      </c>
      <c r="N488" s="1" t="s">
        <v>872</v>
      </c>
      <c r="O488" s="1" t="s">
        <v>1769</v>
      </c>
      <c r="P488" s="1" t="s">
        <v>1770</v>
      </c>
      <c r="Q488" s="1" t="s">
        <v>39</v>
      </c>
      <c r="R488" s="1" t="s">
        <v>938</v>
      </c>
    </row>
    <row r="489">
      <c r="A489" s="1" t="s">
        <v>1755</v>
      </c>
      <c r="C489" s="1" t="s">
        <v>2303</v>
      </c>
      <c r="D489" s="15" t="s">
        <v>1771</v>
      </c>
      <c r="F489" s="15" t="s">
        <v>3070</v>
      </c>
      <c r="G489" s="1" t="s">
        <v>1773</v>
      </c>
      <c r="H489" s="1" t="s">
        <v>39</v>
      </c>
      <c r="I489" s="1" t="s">
        <v>938</v>
      </c>
      <c r="J489" s="117">
        <v>6.0</v>
      </c>
      <c r="K489" s="39"/>
      <c r="L489" s="1">
        <v>5.0</v>
      </c>
      <c r="M489" s="1" t="s">
        <v>1771</v>
      </c>
      <c r="O489" s="1" t="s">
        <v>1772</v>
      </c>
      <c r="P489" s="1" t="s">
        <v>1773</v>
      </c>
      <c r="Q489" s="1" t="s">
        <v>44</v>
      </c>
      <c r="R489" s="1" t="s">
        <v>938</v>
      </c>
    </row>
    <row r="490">
      <c r="A490" s="1" t="s">
        <v>1755</v>
      </c>
      <c r="C490" s="1" t="s">
        <v>2303</v>
      </c>
      <c r="D490" s="15" t="s">
        <v>1768</v>
      </c>
      <c r="E490" s="1" t="s">
        <v>872</v>
      </c>
      <c r="F490" s="15" t="s">
        <v>1769</v>
      </c>
      <c r="G490" s="1" t="s">
        <v>1770</v>
      </c>
      <c r="H490" s="1" t="s">
        <v>39</v>
      </c>
      <c r="I490" s="1" t="s">
        <v>938</v>
      </c>
      <c r="J490" s="74">
        <v>7.0</v>
      </c>
      <c r="K490" s="39"/>
    </row>
    <row r="491">
      <c r="A491" s="1" t="s">
        <v>1755</v>
      </c>
      <c r="C491" s="1" t="s">
        <v>2303</v>
      </c>
      <c r="D491" s="15" t="s">
        <v>1765</v>
      </c>
      <c r="E491" s="1" t="s">
        <v>3071</v>
      </c>
      <c r="F491" s="15" t="s">
        <v>3072</v>
      </c>
      <c r="H491" s="1" t="s">
        <v>39</v>
      </c>
      <c r="I491" s="1" t="s">
        <v>938</v>
      </c>
      <c r="J491" s="105">
        <v>8.0</v>
      </c>
      <c r="K491" s="39"/>
    </row>
    <row r="492">
      <c r="A492" s="69"/>
      <c r="B492" s="67"/>
      <c r="C492" s="67"/>
      <c r="D492" s="96"/>
      <c r="E492" s="67"/>
      <c r="F492" s="96"/>
      <c r="G492" s="67"/>
      <c r="H492" s="67"/>
      <c r="I492" s="67"/>
      <c r="J492" s="67"/>
      <c r="K492" s="67"/>
      <c r="L492" s="67"/>
      <c r="M492" s="67"/>
      <c r="N492" s="67"/>
      <c r="O492" s="67"/>
      <c r="P492" s="67"/>
      <c r="Q492" s="67"/>
      <c r="R492" s="67"/>
      <c r="S492" s="67"/>
      <c r="T492" s="67"/>
      <c r="U492" s="67"/>
      <c r="V492" s="67"/>
      <c r="W492" s="67"/>
      <c r="X492" s="67"/>
      <c r="Y492" s="67"/>
      <c r="Z492" s="67"/>
      <c r="AA492" s="67"/>
      <c r="AB492" s="67"/>
      <c r="AC492" s="67"/>
      <c r="AD492" s="67"/>
      <c r="AE492" s="67"/>
    </row>
    <row r="493">
      <c r="A493" s="1" t="s">
        <v>1774</v>
      </c>
      <c r="C493" s="1" t="s">
        <v>2236</v>
      </c>
      <c r="D493" s="15" t="s">
        <v>2674</v>
      </c>
      <c r="F493" s="10"/>
      <c r="K493" s="39"/>
    </row>
    <row r="494">
      <c r="A494" s="1" t="s">
        <v>1774</v>
      </c>
      <c r="C494" s="1" t="s">
        <v>2303</v>
      </c>
      <c r="D494" s="15" t="s">
        <v>2674</v>
      </c>
      <c r="F494" s="10"/>
      <c r="K494" s="39"/>
    </row>
    <row r="495">
      <c r="A495" s="69"/>
      <c r="B495" s="67"/>
      <c r="C495" s="67"/>
      <c r="D495" s="96"/>
      <c r="E495" s="67"/>
      <c r="F495" s="96"/>
      <c r="G495" s="67"/>
      <c r="H495" s="67"/>
      <c r="I495" s="67"/>
      <c r="J495" s="67"/>
      <c r="K495" s="67"/>
      <c r="L495" s="67"/>
      <c r="M495" s="67"/>
      <c r="N495" s="67"/>
      <c r="O495" s="67"/>
      <c r="P495" s="67"/>
      <c r="Q495" s="67"/>
      <c r="R495" s="67"/>
      <c r="S495" s="67"/>
      <c r="T495" s="67"/>
      <c r="U495" s="67"/>
      <c r="V495" s="67"/>
      <c r="W495" s="67"/>
      <c r="X495" s="67"/>
      <c r="Y495" s="67"/>
      <c r="Z495" s="67"/>
      <c r="AA495" s="67"/>
      <c r="AB495" s="67"/>
      <c r="AC495" s="67"/>
      <c r="AD495" s="67"/>
      <c r="AE495" s="67"/>
    </row>
    <row r="496">
      <c r="A496" s="1" t="s">
        <v>1775</v>
      </c>
      <c r="C496" s="1" t="s">
        <v>2236</v>
      </c>
      <c r="D496" s="15" t="s">
        <v>3073</v>
      </c>
      <c r="E496" s="1"/>
      <c r="F496" s="15" t="s">
        <v>3074</v>
      </c>
      <c r="G496" s="1"/>
      <c r="H496" s="1" t="s">
        <v>20</v>
      </c>
      <c r="I496" s="1" t="s">
        <v>1780</v>
      </c>
      <c r="J496" s="86">
        <v>1.0</v>
      </c>
      <c r="K496" s="39"/>
      <c r="L496" s="1">
        <v>1.0</v>
      </c>
      <c r="M496" s="1" t="s">
        <v>3073</v>
      </c>
      <c r="N496" s="1"/>
      <c r="O496" s="1" t="s">
        <v>3074</v>
      </c>
      <c r="P496" s="1"/>
      <c r="Q496" s="1" t="s">
        <v>20</v>
      </c>
      <c r="R496" s="1" t="s">
        <v>1780</v>
      </c>
    </row>
    <row r="497">
      <c r="A497" s="1" t="s">
        <v>1775</v>
      </c>
      <c r="C497" s="1" t="s">
        <v>2236</v>
      </c>
      <c r="D497" s="15" t="s">
        <v>1776</v>
      </c>
      <c r="E497" s="1" t="s">
        <v>3057</v>
      </c>
      <c r="F497" s="15" t="s">
        <v>1778</v>
      </c>
      <c r="G497" s="1" t="s">
        <v>1779</v>
      </c>
      <c r="H497" s="1" t="s">
        <v>54</v>
      </c>
      <c r="I497" s="1" t="s">
        <v>1780</v>
      </c>
      <c r="J497" s="84">
        <v>2.0</v>
      </c>
      <c r="K497" s="39"/>
      <c r="L497" s="1">
        <v>2.0</v>
      </c>
      <c r="M497" s="1" t="s">
        <v>1776</v>
      </c>
      <c r="N497" s="1" t="s">
        <v>3057</v>
      </c>
      <c r="O497" s="1" t="s">
        <v>1778</v>
      </c>
      <c r="P497" s="1" t="s">
        <v>1779</v>
      </c>
      <c r="Q497" s="1" t="s">
        <v>54</v>
      </c>
      <c r="R497" s="1" t="s">
        <v>1780</v>
      </c>
    </row>
    <row r="498">
      <c r="A498" s="1" t="s">
        <v>1775</v>
      </c>
      <c r="C498" s="1" t="s">
        <v>2236</v>
      </c>
      <c r="D498" s="15" t="s">
        <v>1776</v>
      </c>
      <c r="E498" s="1"/>
      <c r="F498" s="15" t="s">
        <v>1781</v>
      </c>
      <c r="G498" s="1"/>
      <c r="H498" s="1" t="s">
        <v>44</v>
      </c>
      <c r="I498" s="1" t="s">
        <v>1780</v>
      </c>
      <c r="J498" s="81">
        <v>3.0</v>
      </c>
      <c r="K498" s="39"/>
      <c r="L498" s="1">
        <v>3.0</v>
      </c>
      <c r="M498" s="1" t="s">
        <v>1776</v>
      </c>
      <c r="N498" s="1"/>
      <c r="O498" s="1" t="s">
        <v>1781</v>
      </c>
      <c r="P498" s="1"/>
      <c r="Q498" s="1" t="s">
        <v>44</v>
      </c>
      <c r="R498" s="1" t="s">
        <v>1780</v>
      </c>
    </row>
    <row r="499">
      <c r="A499" s="1" t="s">
        <v>1775</v>
      </c>
      <c r="C499" s="1" t="s">
        <v>2236</v>
      </c>
      <c r="D499" s="15" t="s">
        <v>1782</v>
      </c>
      <c r="E499" s="1"/>
      <c r="F499" s="15" t="s">
        <v>1783</v>
      </c>
      <c r="G499" s="1" t="s">
        <v>1748</v>
      </c>
      <c r="H499" s="1" t="s">
        <v>39</v>
      </c>
      <c r="I499" s="1" t="s">
        <v>1780</v>
      </c>
      <c r="J499" s="87">
        <v>4.0</v>
      </c>
      <c r="K499" s="39"/>
      <c r="L499" s="1" t="s">
        <v>1161</v>
      </c>
      <c r="M499" s="1" t="s">
        <v>1782</v>
      </c>
      <c r="N499" s="1"/>
      <c r="O499" s="1" t="s">
        <v>1783</v>
      </c>
      <c r="P499" s="1" t="s">
        <v>1748</v>
      </c>
      <c r="Q499" s="1" t="s">
        <v>39</v>
      </c>
      <c r="R499" s="1" t="s">
        <v>1780</v>
      </c>
    </row>
    <row r="500">
      <c r="A500" s="1" t="s">
        <v>1775</v>
      </c>
      <c r="C500" s="1" t="s">
        <v>2236</v>
      </c>
      <c r="D500" s="15" t="s">
        <v>3075</v>
      </c>
      <c r="E500" s="1" t="s">
        <v>3076</v>
      </c>
      <c r="F500" s="15" t="s">
        <v>3077</v>
      </c>
      <c r="G500" s="1" t="s">
        <v>434</v>
      </c>
      <c r="H500" s="1" t="s">
        <v>39</v>
      </c>
      <c r="I500" s="1" t="s">
        <v>1780</v>
      </c>
      <c r="J500" s="85">
        <v>5.0</v>
      </c>
      <c r="K500" s="39"/>
      <c r="L500" s="1" t="s">
        <v>1165</v>
      </c>
      <c r="M500" s="1" t="s">
        <v>1784</v>
      </c>
      <c r="N500" s="1" t="s">
        <v>872</v>
      </c>
      <c r="O500" s="1" t="s">
        <v>1786</v>
      </c>
      <c r="Q500" s="1" t="s">
        <v>39</v>
      </c>
      <c r="R500" s="1" t="s">
        <v>1780</v>
      </c>
    </row>
    <row r="501">
      <c r="A501" s="1" t="s">
        <v>1775</v>
      </c>
      <c r="C501" s="1" t="s">
        <v>2236</v>
      </c>
      <c r="D501" s="15" t="s">
        <v>1787</v>
      </c>
      <c r="E501" s="1" t="s">
        <v>1788</v>
      </c>
      <c r="F501" s="15" t="s">
        <v>3078</v>
      </c>
      <c r="G501" s="1" t="s">
        <v>434</v>
      </c>
      <c r="H501" s="1" t="s">
        <v>39</v>
      </c>
      <c r="I501" s="1" t="s">
        <v>1780</v>
      </c>
      <c r="J501" s="80">
        <v>6.0</v>
      </c>
      <c r="K501" s="39"/>
      <c r="L501" s="1" t="s">
        <v>1345</v>
      </c>
      <c r="M501" s="1" t="s">
        <v>1787</v>
      </c>
      <c r="N501" s="1" t="s">
        <v>1788</v>
      </c>
      <c r="O501" s="1" t="s">
        <v>1789</v>
      </c>
      <c r="P501" s="1" t="s">
        <v>434</v>
      </c>
      <c r="Q501" s="1" t="s">
        <v>39</v>
      </c>
      <c r="R501" s="1" t="s">
        <v>1780</v>
      </c>
    </row>
    <row r="502">
      <c r="A502" s="1" t="s">
        <v>1775</v>
      </c>
      <c r="C502" s="1" t="s">
        <v>2236</v>
      </c>
      <c r="D502" s="15" t="s">
        <v>3079</v>
      </c>
      <c r="E502" s="1" t="s">
        <v>503</v>
      </c>
      <c r="F502" s="15" t="s">
        <v>3080</v>
      </c>
      <c r="G502" s="1" t="s">
        <v>434</v>
      </c>
      <c r="H502" s="1" t="s">
        <v>39</v>
      </c>
      <c r="I502" s="1" t="s">
        <v>1780</v>
      </c>
      <c r="J502" s="74">
        <v>7.0</v>
      </c>
      <c r="K502" s="39"/>
      <c r="L502" s="1" t="s">
        <v>1354</v>
      </c>
      <c r="M502" s="1" t="s">
        <v>1790</v>
      </c>
      <c r="N502" s="1" t="s">
        <v>872</v>
      </c>
      <c r="O502" s="1" t="s">
        <v>1791</v>
      </c>
      <c r="Q502" s="1" t="s">
        <v>39</v>
      </c>
      <c r="R502" s="1" t="s">
        <v>1780</v>
      </c>
    </row>
    <row r="503">
      <c r="A503" s="1" t="s">
        <v>1775</v>
      </c>
      <c r="C503" s="1" t="s">
        <v>2303</v>
      </c>
      <c r="D503" s="15" t="s">
        <v>1793</v>
      </c>
      <c r="E503" s="1" t="s">
        <v>1794</v>
      </c>
      <c r="F503" s="114" t="s">
        <v>1795</v>
      </c>
      <c r="H503" s="1" t="s">
        <v>14</v>
      </c>
      <c r="I503" s="1" t="s">
        <v>1780</v>
      </c>
      <c r="J503" s="102">
        <v>8.0</v>
      </c>
      <c r="K503" s="39"/>
      <c r="L503" s="1">
        <v>8.0</v>
      </c>
      <c r="M503" s="1" t="s">
        <v>1793</v>
      </c>
      <c r="N503" s="1" t="s">
        <v>1794</v>
      </c>
      <c r="O503" s="55" t="s">
        <v>1795</v>
      </c>
      <c r="Q503" s="1" t="s">
        <v>14</v>
      </c>
      <c r="R503" s="1" t="s">
        <v>1780</v>
      </c>
    </row>
    <row r="504">
      <c r="A504" s="1" t="s">
        <v>1775</v>
      </c>
      <c r="C504" s="1" t="s">
        <v>2303</v>
      </c>
      <c r="D504" s="15" t="s">
        <v>3081</v>
      </c>
      <c r="F504" s="15" t="s">
        <v>3082</v>
      </c>
      <c r="H504" s="1" t="s">
        <v>44</v>
      </c>
      <c r="I504" s="1" t="s">
        <v>1780</v>
      </c>
      <c r="J504" s="87">
        <v>9.0</v>
      </c>
      <c r="K504" s="39"/>
      <c r="L504" s="1">
        <v>13.0</v>
      </c>
      <c r="M504" s="1" t="s">
        <v>1796</v>
      </c>
      <c r="N504" s="1" t="s">
        <v>1654</v>
      </c>
      <c r="O504" s="1" t="s">
        <v>1797</v>
      </c>
      <c r="Q504" s="1" t="s">
        <v>2388</v>
      </c>
      <c r="R504" s="1" t="s">
        <v>1780</v>
      </c>
    </row>
    <row r="505">
      <c r="A505" s="1" t="s">
        <v>1775</v>
      </c>
      <c r="C505" s="1" t="s">
        <v>2303</v>
      </c>
      <c r="D505" s="15" t="s">
        <v>1784</v>
      </c>
      <c r="E505" s="1" t="s">
        <v>872</v>
      </c>
      <c r="F505" s="15" t="s">
        <v>1786</v>
      </c>
      <c r="H505" s="1" t="s">
        <v>39</v>
      </c>
      <c r="I505" s="1" t="s">
        <v>1780</v>
      </c>
      <c r="J505" s="85">
        <v>10.0</v>
      </c>
      <c r="K505" s="39"/>
    </row>
    <row r="506">
      <c r="A506" s="1" t="s">
        <v>1775</v>
      </c>
      <c r="C506" s="1" t="s">
        <v>2303</v>
      </c>
      <c r="D506" s="15" t="s">
        <v>3083</v>
      </c>
      <c r="F506" s="15" t="s">
        <v>1789</v>
      </c>
      <c r="H506" s="1" t="s">
        <v>39</v>
      </c>
      <c r="I506" s="1" t="s">
        <v>1780</v>
      </c>
      <c r="J506" s="80">
        <v>11.0</v>
      </c>
      <c r="K506" s="39"/>
    </row>
    <row r="507">
      <c r="A507" s="1" t="s">
        <v>1775</v>
      </c>
      <c r="C507" s="1" t="s">
        <v>2303</v>
      </c>
      <c r="D507" s="15" t="s">
        <v>1790</v>
      </c>
      <c r="E507" s="1" t="s">
        <v>872</v>
      </c>
      <c r="F507" s="15" t="s">
        <v>1791</v>
      </c>
      <c r="H507" s="1" t="s">
        <v>39</v>
      </c>
      <c r="I507" s="1" t="s">
        <v>1780</v>
      </c>
      <c r="J507" s="74">
        <v>12.0</v>
      </c>
      <c r="K507" s="39"/>
    </row>
    <row r="508">
      <c r="A508" s="1" t="s">
        <v>1775</v>
      </c>
      <c r="C508" s="1" t="s">
        <v>2303</v>
      </c>
      <c r="D508" s="15" t="s">
        <v>1796</v>
      </c>
      <c r="E508" s="1" t="s">
        <v>1654</v>
      </c>
      <c r="F508" s="15" t="s">
        <v>1797</v>
      </c>
      <c r="H508" s="1" t="s">
        <v>2388</v>
      </c>
      <c r="I508" s="1" t="s">
        <v>1780</v>
      </c>
      <c r="J508" s="122">
        <v>13.0</v>
      </c>
      <c r="K508" s="39"/>
    </row>
    <row r="509">
      <c r="A509" s="69"/>
      <c r="B509" s="67"/>
      <c r="C509" s="67"/>
      <c r="D509" s="96"/>
      <c r="E509" s="67"/>
      <c r="F509" s="96"/>
      <c r="G509" s="67"/>
      <c r="H509" s="67"/>
      <c r="I509" s="67"/>
      <c r="J509" s="67"/>
      <c r="K509" s="67"/>
      <c r="L509" s="67"/>
      <c r="M509" s="67"/>
      <c r="N509" s="67"/>
      <c r="O509" s="67"/>
      <c r="P509" s="67"/>
      <c r="Q509" s="67"/>
      <c r="R509" s="67"/>
      <c r="S509" s="67"/>
      <c r="T509" s="67"/>
      <c r="U509" s="67"/>
      <c r="V509" s="67"/>
      <c r="W509" s="67"/>
      <c r="X509" s="67"/>
      <c r="Y509" s="67"/>
      <c r="Z509" s="67"/>
      <c r="AA509" s="67"/>
      <c r="AB509" s="67"/>
      <c r="AC509" s="67"/>
      <c r="AD509" s="67"/>
      <c r="AE509" s="67"/>
    </row>
    <row r="510">
      <c r="A510" s="1" t="s">
        <v>1798</v>
      </c>
      <c r="C510" s="1" t="s">
        <v>2236</v>
      </c>
      <c r="D510" s="15" t="s">
        <v>1799</v>
      </c>
      <c r="E510" s="1" t="s">
        <v>3084</v>
      </c>
      <c r="F510" s="15" t="s">
        <v>3085</v>
      </c>
      <c r="G510" s="1" t="s">
        <v>3086</v>
      </c>
      <c r="H510" s="1" t="s">
        <v>54</v>
      </c>
      <c r="I510" s="1" t="s">
        <v>577</v>
      </c>
      <c r="J510" s="87">
        <v>1.0</v>
      </c>
      <c r="K510" s="39"/>
      <c r="L510" s="1" t="s">
        <v>1363</v>
      </c>
      <c r="M510" s="1" t="s">
        <v>1799</v>
      </c>
      <c r="N510" s="1" t="s">
        <v>1800</v>
      </c>
      <c r="O510" s="1" t="s">
        <v>1801</v>
      </c>
      <c r="P510" s="1" t="s">
        <v>1802</v>
      </c>
      <c r="Q510" s="1" t="s">
        <v>91</v>
      </c>
      <c r="R510" s="1" t="s">
        <v>577</v>
      </c>
    </row>
    <row r="511">
      <c r="A511" s="1" t="s">
        <v>1798</v>
      </c>
      <c r="C511" s="1" t="s">
        <v>2236</v>
      </c>
      <c r="D511" s="15" t="s">
        <v>1804</v>
      </c>
      <c r="F511" s="15" t="s">
        <v>3087</v>
      </c>
      <c r="H511" s="1" t="s">
        <v>54</v>
      </c>
      <c r="I511" s="1" t="s">
        <v>577</v>
      </c>
      <c r="J511" s="91">
        <v>2.0</v>
      </c>
      <c r="K511" s="39"/>
      <c r="L511" s="1" t="s">
        <v>1803</v>
      </c>
      <c r="M511" s="1" t="s">
        <v>1804</v>
      </c>
      <c r="N511" s="1" t="s">
        <v>1801</v>
      </c>
      <c r="O511" s="1" t="s">
        <v>1805</v>
      </c>
      <c r="P511" s="1" t="s">
        <v>1806</v>
      </c>
      <c r="Q511" s="1" t="s">
        <v>39</v>
      </c>
      <c r="R511" s="1" t="s">
        <v>577</v>
      </c>
    </row>
    <row r="512">
      <c r="A512" s="1" t="s">
        <v>1798</v>
      </c>
      <c r="C512" s="1" t="s">
        <v>2236</v>
      </c>
      <c r="D512" s="15" t="s">
        <v>1809</v>
      </c>
      <c r="E512" s="1" t="s">
        <v>1056</v>
      </c>
      <c r="F512" s="15" t="s">
        <v>3088</v>
      </c>
      <c r="G512" s="8" t="s">
        <v>434</v>
      </c>
      <c r="H512" s="1" t="s">
        <v>39</v>
      </c>
      <c r="I512" s="1" t="s">
        <v>577</v>
      </c>
      <c r="J512" s="77">
        <v>3.0</v>
      </c>
      <c r="K512" s="39"/>
      <c r="L512" s="1" t="s">
        <v>1114</v>
      </c>
      <c r="M512" s="1" t="s">
        <v>1804</v>
      </c>
      <c r="N512" s="1" t="s">
        <v>1801</v>
      </c>
      <c r="O512" s="1" t="s">
        <v>1807</v>
      </c>
      <c r="P512" s="1" t="s">
        <v>1806</v>
      </c>
      <c r="Q512" s="1" t="s">
        <v>39</v>
      </c>
      <c r="R512" s="1" t="s">
        <v>577</v>
      </c>
    </row>
    <row r="513">
      <c r="A513" s="1" t="s">
        <v>1798</v>
      </c>
      <c r="C513" s="1" t="s">
        <v>2236</v>
      </c>
      <c r="D513" s="15" t="s">
        <v>3089</v>
      </c>
      <c r="E513" s="1" t="s">
        <v>1056</v>
      </c>
      <c r="F513" s="15" t="s">
        <v>719</v>
      </c>
      <c r="G513" s="1" t="s">
        <v>434</v>
      </c>
      <c r="H513" s="1" t="s">
        <v>39</v>
      </c>
      <c r="I513" s="1" t="s">
        <v>577</v>
      </c>
      <c r="J513" s="81">
        <v>4.0</v>
      </c>
      <c r="K513" s="39"/>
      <c r="L513" s="1">
        <v>3.0</v>
      </c>
      <c r="M513" s="1" t="s">
        <v>1809</v>
      </c>
      <c r="N513" s="1" t="s">
        <v>1056</v>
      </c>
      <c r="O513" s="1" t="s">
        <v>3088</v>
      </c>
      <c r="P513" s="8" t="s">
        <v>434</v>
      </c>
      <c r="Q513" s="1" t="s">
        <v>39</v>
      </c>
      <c r="R513" s="1" t="s">
        <v>577</v>
      </c>
    </row>
    <row r="514">
      <c r="A514" s="1" t="s">
        <v>1798</v>
      </c>
      <c r="C514" s="1" t="s">
        <v>2236</v>
      </c>
      <c r="D514" s="15" t="s">
        <v>1817</v>
      </c>
      <c r="E514" s="1" t="s">
        <v>1801</v>
      </c>
      <c r="F514" s="15" t="s">
        <v>1818</v>
      </c>
      <c r="G514" s="1" t="s">
        <v>1819</v>
      </c>
      <c r="H514" s="1" t="s">
        <v>39</v>
      </c>
      <c r="I514" s="1" t="s">
        <v>577</v>
      </c>
      <c r="J514" s="103">
        <v>5.0</v>
      </c>
      <c r="K514" s="39"/>
      <c r="L514" s="1">
        <v>4.0</v>
      </c>
      <c r="M514" s="1" t="s">
        <v>3089</v>
      </c>
      <c r="N514" s="1" t="s">
        <v>1056</v>
      </c>
      <c r="O514" s="1" t="s">
        <v>719</v>
      </c>
      <c r="P514" s="1" t="s">
        <v>1385</v>
      </c>
      <c r="Q514" s="1" t="s">
        <v>39</v>
      </c>
      <c r="R514" s="1" t="s">
        <v>577</v>
      </c>
    </row>
    <row r="515">
      <c r="A515" s="1" t="s">
        <v>1798</v>
      </c>
      <c r="C515" s="1" t="s">
        <v>2236</v>
      </c>
      <c r="D515" s="15" t="s">
        <v>1822</v>
      </c>
      <c r="E515" s="1" t="s">
        <v>1801</v>
      </c>
      <c r="F515" s="15" t="s">
        <v>1823</v>
      </c>
      <c r="H515" s="1" t="s">
        <v>506</v>
      </c>
      <c r="I515" s="1" t="s">
        <v>577</v>
      </c>
      <c r="J515" s="95">
        <v>6.0</v>
      </c>
      <c r="K515" s="39"/>
      <c r="L515" s="1">
        <v>10.0</v>
      </c>
      <c r="M515" s="1" t="s">
        <v>1811</v>
      </c>
      <c r="O515" s="1" t="s">
        <v>1812</v>
      </c>
      <c r="P515" s="1" t="s">
        <v>1813</v>
      </c>
      <c r="Q515" s="1" t="s">
        <v>54</v>
      </c>
      <c r="R515" s="1" t="s">
        <v>577</v>
      </c>
    </row>
    <row r="516">
      <c r="A516" s="1" t="s">
        <v>1798</v>
      </c>
      <c r="C516" s="1" t="s">
        <v>2384</v>
      </c>
      <c r="D516" s="15" t="s">
        <v>1799</v>
      </c>
      <c r="E516" s="1" t="s">
        <v>1800</v>
      </c>
      <c r="F516" s="15" t="s">
        <v>1801</v>
      </c>
      <c r="G516" s="1" t="s">
        <v>1802</v>
      </c>
      <c r="H516" s="1" t="s">
        <v>91</v>
      </c>
      <c r="I516" s="1" t="s">
        <v>577</v>
      </c>
      <c r="J516" s="87">
        <v>7.0</v>
      </c>
      <c r="K516" s="39"/>
      <c r="L516" s="1">
        <v>11.0</v>
      </c>
      <c r="M516" s="1" t="s">
        <v>1814</v>
      </c>
      <c r="N516" s="1" t="s">
        <v>1801</v>
      </c>
      <c r="O516" s="1" t="s">
        <v>1815</v>
      </c>
      <c r="P516" s="1" t="s">
        <v>1816</v>
      </c>
      <c r="Q516" s="1" t="s">
        <v>44</v>
      </c>
      <c r="R516" s="1" t="s">
        <v>577</v>
      </c>
    </row>
    <row r="517">
      <c r="A517" s="1" t="s">
        <v>1798</v>
      </c>
      <c r="C517" s="1" t="s">
        <v>2384</v>
      </c>
      <c r="D517" s="15" t="s">
        <v>1804</v>
      </c>
      <c r="E517" s="1" t="s">
        <v>1801</v>
      </c>
      <c r="F517" s="15" t="s">
        <v>3090</v>
      </c>
      <c r="G517" s="1" t="s">
        <v>1806</v>
      </c>
      <c r="H517" s="1" t="s">
        <v>39</v>
      </c>
      <c r="I517" s="1" t="s">
        <v>577</v>
      </c>
      <c r="J517" s="91">
        <v>8.0</v>
      </c>
      <c r="K517" s="39"/>
      <c r="L517" s="1">
        <v>5.0</v>
      </c>
      <c r="M517" s="1" t="s">
        <v>1817</v>
      </c>
      <c r="N517" s="1" t="s">
        <v>1801</v>
      </c>
      <c r="O517" s="1" t="s">
        <v>1818</v>
      </c>
      <c r="P517" s="1" t="s">
        <v>1819</v>
      </c>
      <c r="Q517" s="1" t="s">
        <v>39</v>
      </c>
      <c r="R517" s="1" t="s">
        <v>577</v>
      </c>
    </row>
    <row r="518">
      <c r="A518" s="1" t="s">
        <v>1798</v>
      </c>
      <c r="C518" s="1" t="s">
        <v>2384</v>
      </c>
      <c r="D518" s="15" t="s">
        <v>1804</v>
      </c>
      <c r="E518" s="1" t="s">
        <v>1801</v>
      </c>
      <c r="F518" s="15" t="s">
        <v>3091</v>
      </c>
      <c r="G518" s="1" t="s">
        <v>1806</v>
      </c>
      <c r="H518" s="1" t="s">
        <v>39</v>
      </c>
      <c r="I518" s="1" t="s">
        <v>577</v>
      </c>
      <c r="J518" s="91">
        <v>9.0</v>
      </c>
      <c r="K518" s="39"/>
      <c r="L518" s="1">
        <v>13.0</v>
      </c>
      <c r="M518" s="1" t="s">
        <v>1820</v>
      </c>
      <c r="O518" s="1" t="s">
        <v>1821</v>
      </c>
      <c r="P518" s="1" t="s">
        <v>1385</v>
      </c>
      <c r="Q518" s="1" t="s">
        <v>39</v>
      </c>
      <c r="R518" s="1" t="s">
        <v>577</v>
      </c>
    </row>
    <row r="519">
      <c r="A519" s="1" t="s">
        <v>1798</v>
      </c>
      <c r="C519" s="1" t="s">
        <v>2384</v>
      </c>
      <c r="D519" s="15" t="s">
        <v>1811</v>
      </c>
      <c r="F519" s="15" t="s">
        <v>1812</v>
      </c>
      <c r="G519" s="1" t="s">
        <v>1813</v>
      </c>
      <c r="H519" s="1" t="s">
        <v>54</v>
      </c>
      <c r="I519" s="1" t="s">
        <v>577</v>
      </c>
      <c r="J519" s="124">
        <v>10.0</v>
      </c>
      <c r="K519" s="39"/>
      <c r="L519" s="1">
        <v>6.0</v>
      </c>
      <c r="M519" s="1" t="s">
        <v>1822</v>
      </c>
      <c r="N519" s="1" t="s">
        <v>1801</v>
      </c>
      <c r="O519" s="1" t="s">
        <v>1823</v>
      </c>
      <c r="Q519" s="1" t="s">
        <v>506</v>
      </c>
      <c r="R519" s="1" t="s">
        <v>577</v>
      </c>
    </row>
    <row r="520">
      <c r="A520" s="1" t="s">
        <v>1798</v>
      </c>
      <c r="C520" s="1" t="s">
        <v>2384</v>
      </c>
      <c r="D520" s="15" t="s">
        <v>1814</v>
      </c>
      <c r="E520" s="1" t="s">
        <v>1801</v>
      </c>
      <c r="F520" s="15" t="s">
        <v>1815</v>
      </c>
      <c r="G520" s="1" t="s">
        <v>1816</v>
      </c>
      <c r="H520" s="1" t="s">
        <v>44</v>
      </c>
      <c r="I520" s="1" t="s">
        <v>577</v>
      </c>
      <c r="J520" s="132">
        <v>11.0</v>
      </c>
      <c r="K520" s="39"/>
    </row>
    <row r="521">
      <c r="A521" s="1" t="s">
        <v>1798</v>
      </c>
      <c r="C521" s="1" t="s">
        <v>2384</v>
      </c>
      <c r="D521" s="15" t="s">
        <v>1820</v>
      </c>
      <c r="E521" s="1" t="s">
        <v>947</v>
      </c>
      <c r="F521" s="15" t="s">
        <v>934</v>
      </c>
      <c r="G521" s="1" t="s">
        <v>1385</v>
      </c>
      <c r="H521" s="1" t="s">
        <v>39</v>
      </c>
      <c r="I521" s="1" t="s">
        <v>577</v>
      </c>
      <c r="J521" s="81">
        <v>12.0</v>
      </c>
      <c r="K521" s="39"/>
    </row>
    <row r="522">
      <c r="A522" s="1" t="s">
        <v>1798</v>
      </c>
      <c r="C522" s="1" t="s">
        <v>2384</v>
      </c>
      <c r="D522" s="15" t="s">
        <v>1820</v>
      </c>
      <c r="F522" s="15" t="s">
        <v>1821</v>
      </c>
      <c r="G522" s="1" t="s">
        <v>1385</v>
      </c>
      <c r="H522" s="1" t="s">
        <v>39</v>
      </c>
      <c r="I522" s="1" t="s">
        <v>577</v>
      </c>
      <c r="J522" s="90">
        <v>13.0</v>
      </c>
      <c r="K522" s="39"/>
    </row>
    <row r="523">
      <c r="A523" s="69"/>
      <c r="B523" s="67"/>
      <c r="C523" s="67"/>
      <c r="D523" s="96"/>
      <c r="E523" s="67"/>
      <c r="F523" s="96"/>
      <c r="G523" s="67"/>
      <c r="H523" s="67"/>
      <c r="I523" s="67"/>
      <c r="J523" s="67"/>
      <c r="K523" s="67"/>
      <c r="L523" s="67"/>
      <c r="M523" s="67"/>
      <c r="N523" s="67"/>
      <c r="O523" s="67"/>
      <c r="P523" s="67"/>
      <c r="Q523" s="67"/>
      <c r="R523" s="67"/>
      <c r="S523" s="67"/>
      <c r="T523" s="67"/>
      <c r="U523" s="67"/>
      <c r="V523" s="67"/>
      <c r="W523" s="67"/>
      <c r="X523" s="67"/>
      <c r="Y523" s="67"/>
      <c r="Z523" s="67"/>
      <c r="AA523" s="67"/>
      <c r="AB523" s="67"/>
      <c r="AC523" s="67"/>
      <c r="AD523" s="67"/>
      <c r="AE523" s="67"/>
    </row>
    <row r="524">
      <c r="A524" s="1" t="s">
        <v>1824</v>
      </c>
      <c r="C524" s="1" t="s">
        <v>2303</v>
      </c>
      <c r="D524" s="15" t="s">
        <v>1752</v>
      </c>
      <c r="F524" s="15" t="s">
        <v>3067</v>
      </c>
      <c r="G524" s="1" t="s">
        <v>3068</v>
      </c>
      <c r="H524" s="1" t="s">
        <v>44</v>
      </c>
      <c r="I524" s="1" t="s">
        <v>1826</v>
      </c>
      <c r="J524" s="91">
        <v>1.0</v>
      </c>
      <c r="K524" s="39"/>
      <c r="L524" s="1">
        <v>1.0</v>
      </c>
      <c r="M524" s="1" t="s">
        <v>1752</v>
      </c>
      <c r="O524" s="1" t="s">
        <v>3067</v>
      </c>
      <c r="P524" s="1" t="s">
        <v>3068</v>
      </c>
      <c r="Q524" s="1" t="s">
        <v>44</v>
      </c>
      <c r="R524" s="1" t="s">
        <v>1826</v>
      </c>
    </row>
    <row r="525">
      <c r="A525" s="1" t="s">
        <v>1824</v>
      </c>
      <c r="C525" s="1" t="s">
        <v>2303</v>
      </c>
      <c r="D525" s="15" t="s">
        <v>1829</v>
      </c>
      <c r="F525" s="15" t="s">
        <v>1830</v>
      </c>
      <c r="G525" s="1" t="s">
        <v>1831</v>
      </c>
      <c r="H525" s="1" t="s">
        <v>44</v>
      </c>
      <c r="I525" s="1" t="s">
        <v>1826</v>
      </c>
      <c r="J525" s="78">
        <v>2.0</v>
      </c>
      <c r="K525" s="39"/>
      <c r="L525" s="1">
        <v>2.0</v>
      </c>
      <c r="M525" s="1" t="s">
        <v>1829</v>
      </c>
      <c r="O525" s="1" t="s">
        <v>1830</v>
      </c>
      <c r="P525" s="1" t="s">
        <v>1831</v>
      </c>
      <c r="Q525" s="1" t="s">
        <v>44</v>
      </c>
      <c r="R525" s="1" t="s">
        <v>1826</v>
      </c>
    </row>
    <row r="526">
      <c r="A526" s="1" t="s">
        <v>1824</v>
      </c>
      <c r="C526" s="1" t="s">
        <v>2303</v>
      </c>
      <c r="D526" s="15" t="s">
        <v>1832</v>
      </c>
      <c r="F526" s="15" t="s">
        <v>3092</v>
      </c>
      <c r="H526" s="1" t="s">
        <v>44</v>
      </c>
      <c r="I526" s="1" t="s">
        <v>1826</v>
      </c>
      <c r="J526" s="108">
        <v>3.0</v>
      </c>
      <c r="K526" s="39"/>
      <c r="L526" s="1">
        <v>10.0</v>
      </c>
      <c r="M526" s="1" t="s">
        <v>1832</v>
      </c>
      <c r="O526" s="1" t="s">
        <v>1833</v>
      </c>
      <c r="P526" s="1" t="s">
        <v>1834</v>
      </c>
      <c r="Q526" s="79" t="s">
        <v>106</v>
      </c>
      <c r="R526" s="1" t="s">
        <v>1826</v>
      </c>
    </row>
    <row r="527">
      <c r="A527" s="1" t="s">
        <v>1824</v>
      </c>
      <c r="C527" s="1" t="s">
        <v>2303</v>
      </c>
      <c r="D527" s="15" t="s">
        <v>1835</v>
      </c>
      <c r="F527" s="15" t="s">
        <v>3093</v>
      </c>
      <c r="H527" s="1" t="s">
        <v>44</v>
      </c>
      <c r="I527" s="1" t="s">
        <v>1826</v>
      </c>
      <c r="J527" s="83">
        <v>4.0</v>
      </c>
      <c r="K527" s="39"/>
      <c r="L527" s="1" t="s">
        <v>1415</v>
      </c>
      <c r="M527" s="1" t="s">
        <v>1835</v>
      </c>
      <c r="O527" s="1" t="s">
        <v>1836</v>
      </c>
      <c r="P527" s="1" t="s">
        <v>3094</v>
      </c>
      <c r="Q527" s="1" t="s">
        <v>106</v>
      </c>
      <c r="R527" s="1" t="s">
        <v>1826</v>
      </c>
    </row>
    <row r="528">
      <c r="A528" s="1" t="s">
        <v>1824</v>
      </c>
      <c r="C528" s="1" t="s">
        <v>2303</v>
      </c>
      <c r="D528" s="15" t="s">
        <v>1841</v>
      </c>
      <c r="F528" s="15" t="s">
        <v>1843</v>
      </c>
      <c r="G528" s="1" t="s">
        <v>1844</v>
      </c>
      <c r="H528" s="1" t="s">
        <v>14</v>
      </c>
      <c r="I528" s="1" t="s">
        <v>1826</v>
      </c>
      <c r="J528" s="102">
        <v>5.0</v>
      </c>
      <c r="K528" s="39"/>
      <c r="L528" s="1" t="s">
        <v>1408</v>
      </c>
      <c r="M528" s="1" t="s">
        <v>1835</v>
      </c>
      <c r="O528" s="1" t="s">
        <v>1838</v>
      </c>
      <c r="P528" s="1" t="s">
        <v>1839</v>
      </c>
      <c r="Q528" s="1" t="s">
        <v>106</v>
      </c>
      <c r="R528" s="1" t="s">
        <v>1826</v>
      </c>
    </row>
    <row r="529">
      <c r="A529" s="1" t="s">
        <v>1824</v>
      </c>
      <c r="C529" s="1" t="s">
        <v>2303</v>
      </c>
      <c r="D529" s="15" t="s">
        <v>1845</v>
      </c>
      <c r="F529" s="15" t="s">
        <v>3095</v>
      </c>
      <c r="G529" s="1" t="s">
        <v>1847</v>
      </c>
      <c r="H529" s="1" t="s">
        <v>54</v>
      </c>
      <c r="I529" s="1" t="s">
        <v>1826</v>
      </c>
      <c r="J529" s="109">
        <v>6.0</v>
      </c>
      <c r="K529" s="39"/>
      <c r="L529" s="1" t="s">
        <v>1840</v>
      </c>
      <c r="M529" s="1" t="s">
        <v>1841</v>
      </c>
      <c r="O529" s="1" t="s">
        <v>1843</v>
      </c>
      <c r="P529" s="1" t="s">
        <v>1844</v>
      </c>
      <c r="Q529" s="1" t="s">
        <v>14</v>
      </c>
      <c r="R529" s="1" t="s">
        <v>1826</v>
      </c>
    </row>
    <row r="530">
      <c r="A530" s="1" t="s">
        <v>1824</v>
      </c>
      <c r="C530" s="1" t="s">
        <v>2303</v>
      </c>
      <c r="D530" s="15" t="s">
        <v>1845</v>
      </c>
      <c r="E530" s="1" t="s">
        <v>872</v>
      </c>
      <c r="F530" s="15" t="s">
        <v>3096</v>
      </c>
      <c r="H530" s="1" t="s">
        <v>39</v>
      </c>
      <c r="I530" s="1" t="s">
        <v>1826</v>
      </c>
      <c r="J530" s="95">
        <v>7.0</v>
      </c>
      <c r="K530" s="39"/>
      <c r="L530" s="1" t="s">
        <v>1002</v>
      </c>
      <c r="M530" s="1" t="s">
        <v>1845</v>
      </c>
      <c r="O530" s="1" t="s">
        <v>1846</v>
      </c>
      <c r="P530" s="1" t="s">
        <v>1847</v>
      </c>
      <c r="Q530" s="1" t="s">
        <v>54</v>
      </c>
      <c r="R530" s="1" t="s">
        <v>1826</v>
      </c>
    </row>
    <row r="531">
      <c r="A531" s="1" t="s">
        <v>1824</v>
      </c>
      <c r="C531" s="1" t="s">
        <v>2303</v>
      </c>
      <c r="D531" s="15" t="s">
        <v>1857</v>
      </c>
      <c r="E531" s="1" t="s">
        <v>947</v>
      </c>
      <c r="F531" s="15" t="s">
        <v>3097</v>
      </c>
      <c r="H531" s="1" t="s">
        <v>39</v>
      </c>
      <c r="I531" s="1" t="s">
        <v>1826</v>
      </c>
      <c r="J531" s="116">
        <v>8.0</v>
      </c>
      <c r="K531" s="39"/>
      <c r="L531" s="1" t="s">
        <v>1848</v>
      </c>
      <c r="M531" s="1" t="s">
        <v>1845</v>
      </c>
      <c r="N531" s="1" t="s">
        <v>1849</v>
      </c>
      <c r="O531" s="1" t="s">
        <v>933</v>
      </c>
      <c r="Q531" s="79" t="s">
        <v>54</v>
      </c>
      <c r="R531" s="1" t="s">
        <v>1826</v>
      </c>
    </row>
    <row r="532">
      <c r="A532" s="1" t="s">
        <v>1824</v>
      </c>
      <c r="C532" s="1" t="s">
        <v>2303</v>
      </c>
      <c r="D532" s="15" t="s">
        <v>1857</v>
      </c>
      <c r="E532" s="1" t="s">
        <v>3098</v>
      </c>
      <c r="F532" s="15" t="s">
        <v>3099</v>
      </c>
      <c r="G532" s="1" t="s">
        <v>3100</v>
      </c>
      <c r="H532" s="1" t="s">
        <v>39</v>
      </c>
      <c r="I532" s="1" t="s">
        <v>1826</v>
      </c>
      <c r="J532" s="90">
        <v>9.0</v>
      </c>
      <c r="K532" s="39"/>
      <c r="L532" s="1">
        <v>15.0</v>
      </c>
      <c r="M532" s="1" t="s">
        <v>1850</v>
      </c>
      <c r="N532" s="1" t="s">
        <v>1849</v>
      </c>
      <c r="O532" s="1" t="s">
        <v>1851</v>
      </c>
      <c r="P532" s="1" t="s">
        <v>3101</v>
      </c>
      <c r="Q532" s="1" t="s">
        <v>54</v>
      </c>
      <c r="R532" s="1" t="s">
        <v>1826</v>
      </c>
    </row>
    <row r="533">
      <c r="A533" s="1" t="s">
        <v>1824</v>
      </c>
      <c r="C533" s="1" t="s">
        <v>2384</v>
      </c>
      <c r="D533" s="15" t="s">
        <v>1832</v>
      </c>
      <c r="F533" s="15" t="s">
        <v>1833</v>
      </c>
      <c r="G533" s="1" t="s">
        <v>1834</v>
      </c>
      <c r="H533" s="1" t="s">
        <v>106</v>
      </c>
      <c r="I533" s="1" t="s">
        <v>1826</v>
      </c>
      <c r="J533" s="84">
        <v>10.0</v>
      </c>
      <c r="K533" s="39"/>
      <c r="L533" s="1">
        <v>17.0</v>
      </c>
      <c r="M533" s="1" t="s">
        <v>1853</v>
      </c>
      <c r="O533" s="1" t="s">
        <v>1854</v>
      </c>
      <c r="P533" s="1" t="s">
        <v>1855</v>
      </c>
      <c r="Q533" s="1" t="s">
        <v>39</v>
      </c>
      <c r="R533" s="1" t="s">
        <v>1826</v>
      </c>
    </row>
    <row r="534">
      <c r="A534" s="1" t="s">
        <v>1824</v>
      </c>
      <c r="C534" s="1" t="s">
        <v>2384</v>
      </c>
      <c r="D534" s="15" t="s">
        <v>1835</v>
      </c>
      <c r="F534" s="15" t="s">
        <v>965</v>
      </c>
      <c r="G534" s="1" t="s">
        <v>3094</v>
      </c>
      <c r="H534" s="1" t="s">
        <v>106</v>
      </c>
      <c r="I534" s="1" t="s">
        <v>1826</v>
      </c>
      <c r="J534" s="83">
        <v>11.0</v>
      </c>
      <c r="K534" s="39"/>
      <c r="L534" s="1" t="s">
        <v>1145</v>
      </c>
      <c r="M534" s="1" t="s">
        <v>1857</v>
      </c>
      <c r="N534" s="1" t="s">
        <v>947</v>
      </c>
      <c r="O534" s="1" t="s">
        <v>934</v>
      </c>
      <c r="P534" s="1" t="s">
        <v>1385</v>
      </c>
      <c r="Q534" s="1" t="s">
        <v>39</v>
      </c>
      <c r="R534" s="1" t="s">
        <v>1826</v>
      </c>
    </row>
    <row r="535">
      <c r="A535" s="1" t="s">
        <v>1824</v>
      </c>
      <c r="C535" s="1" t="s">
        <v>2384</v>
      </c>
      <c r="D535" s="15" t="s">
        <v>1835</v>
      </c>
      <c r="F535" s="15" t="s">
        <v>3102</v>
      </c>
      <c r="G535" s="1" t="s">
        <v>1839</v>
      </c>
      <c r="H535" s="1" t="s">
        <v>106</v>
      </c>
      <c r="I535" s="1" t="s">
        <v>1826</v>
      </c>
      <c r="J535" s="108">
        <v>12.0</v>
      </c>
      <c r="K535" s="39"/>
      <c r="L535" s="1" t="s">
        <v>2966</v>
      </c>
      <c r="M535" s="1" t="s">
        <v>1857</v>
      </c>
      <c r="N535" s="1" t="s">
        <v>947</v>
      </c>
      <c r="O535" s="1" t="s">
        <v>3103</v>
      </c>
      <c r="P535" s="1" t="s">
        <v>3104</v>
      </c>
      <c r="Q535" s="1" t="s">
        <v>39</v>
      </c>
      <c r="R535" s="1" t="s">
        <v>1826</v>
      </c>
    </row>
    <row r="536">
      <c r="A536" s="1" t="s">
        <v>1824</v>
      </c>
      <c r="C536" s="1" t="s">
        <v>2384</v>
      </c>
      <c r="D536" s="15" t="s">
        <v>1841</v>
      </c>
      <c r="E536" s="1" t="s">
        <v>3105</v>
      </c>
      <c r="F536" s="15" t="s">
        <v>3106</v>
      </c>
      <c r="G536" s="1" t="s">
        <v>3107</v>
      </c>
      <c r="H536" s="1" t="s">
        <v>14</v>
      </c>
      <c r="I536" s="1" t="s">
        <v>1826</v>
      </c>
      <c r="J536" s="102">
        <v>13.0</v>
      </c>
      <c r="K536" s="39"/>
      <c r="L536" s="1">
        <v>20.0</v>
      </c>
      <c r="M536" s="1" t="s">
        <v>1857</v>
      </c>
      <c r="O536" s="1" t="s">
        <v>3108</v>
      </c>
      <c r="P536" s="1" t="s">
        <v>1385</v>
      </c>
      <c r="Q536" s="1" t="s">
        <v>39</v>
      </c>
      <c r="R536" s="1" t="s">
        <v>1826</v>
      </c>
    </row>
    <row r="537">
      <c r="A537" s="1" t="s">
        <v>1824</v>
      </c>
      <c r="C537" s="1" t="s">
        <v>2384</v>
      </c>
      <c r="D537" s="15" t="s">
        <v>1845</v>
      </c>
      <c r="E537" s="1" t="s">
        <v>1849</v>
      </c>
      <c r="F537" s="15" t="s">
        <v>933</v>
      </c>
      <c r="H537" s="1" t="s">
        <v>54</v>
      </c>
      <c r="I537" s="1" t="s">
        <v>1826</v>
      </c>
      <c r="J537" s="95">
        <v>14.0</v>
      </c>
      <c r="K537" s="39"/>
      <c r="L537" s="1">
        <v>21.0</v>
      </c>
      <c r="M537" s="1" t="s">
        <v>1859</v>
      </c>
      <c r="O537" s="1" t="s">
        <v>1860</v>
      </c>
      <c r="P537" s="1" t="s">
        <v>1861</v>
      </c>
      <c r="Q537" s="1" t="s">
        <v>14</v>
      </c>
      <c r="R537" s="1" t="s">
        <v>1826</v>
      </c>
    </row>
    <row r="538">
      <c r="A538" s="1" t="s">
        <v>1824</v>
      </c>
      <c r="C538" s="1" t="s">
        <v>2384</v>
      </c>
      <c r="D538" s="15" t="s">
        <v>1850</v>
      </c>
      <c r="E538" s="1" t="s">
        <v>1849</v>
      </c>
      <c r="F538" s="15" t="s">
        <v>1851</v>
      </c>
      <c r="G538" s="1" t="s">
        <v>3101</v>
      </c>
      <c r="H538" s="1" t="s">
        <v>54</v>
      </c>
      <c r="I538" s="1" t="s">
        <v>1826</v>
      </c>
      <c r="J538" s="73">
        <v>15.0</v>
      </c>
      <c r="K538" s="39"/>
    </row>
    <row r="539">
      <c r="A539" s="1" t="s">
        <v>1824</v>
      </c>
      <c r="C539" s="1" t="s">
        <v>2384</v>
      </c>
      <c r="D539" s="15" t="s">
        <v>1845</v>
      </c>
      <c r="F539" s="15" t="s">
        <v>3109</v>
      </c>
      <c r="G539" s="133" t="s">
        <v>3110</v>
      </c>
      <c r="H539" s="1" t="s">
        <v>54</v>
      </c>
      <c r="I539" s="1" t="s">
        <v>1826</v>
      </c>
      <c r="J539" s="109">
        <v>16.0</v>
      </c>
      <c r="K539" s="39"/>
    </row>
    <row r="540">
      <c r="A540" s="1" t="s">
        <v>1824</v>
      </c>
      <c r="C540" s="1" t="s">
        <v>2384</v>
      </c>
      <c r="D540" s="15" t="s">
        <v>1853</v>
      </c>
      <c r="F540" s="15" t="s">
        <v>1854</v>
      </c>
      <c r="G540" s="1" t="s">
        <v>1855</v>
      </c>
      <c r="H540" s="1" t="s">
        <v>39</v>
      </c>
      <c r="I540" s="1" t="s">
        <v>1826</v>
      </c>
      <c r="J540" s="74">
        <v>17.0</v>
      </c>
      <c r="K540" s="39"/>
    </row>
    <row r="541">
      <c r="A541" s="1" t="s">
        <v>1824</v>
      </c>
      <c r="C541" s="1" t="s">
        <v>2384</v>
      </c>
      <c r="D541" s="15" t="s">
        <v>1857</v>
      </c>
      <c r="F541" s="15" t="s">
        <v>934</v>
      </c>
      <c r="G541" s="1" t="s">
        <v>1385</v>
      </c>
      <c r="H541" s="1" t="s">
        <v>39</v>
      </c>
      <c r="I541" s="1" t="s">
        <v>1826</v>
      </c>
      <c r="J541" s="116">
        <v>18.0</v>
      </c>
      <c r="K541" s="39"/>
    </row>
    <row r="542">
      <c r="A542" s="1" t="s">
        <v>1824</v>
      </c>
      <c r="C542" s="1" t="s">
        <v>2384</v>
      </c>
      <c r="D542" s="15" t="s">
        <v>1857</v>
      </c>
      <c r="F542" s="15" t="s">
        <v>3103</v>
      </c>
      <c r="G542" s="1" t="s">
        <v>3104</v>
      </c>
      <c r="H542" s="1" t="s">
        <v>39</v>
      </c>
      <c r="I542" s="1" t="s">
        <v>1826</v>
      </c>
      <c r="J542" s="90">
        <v>19.0</v>
      </c>
      <c r="K542" s="39"/>
    </row>
    <row r="543">
      <c r="A543" s="1" t="s">
        <v>1824</v>
      </c>
      <c r="C543" s="1" t="s">
        <v>2384</v>
      </c>
      <c r="D543" s="15" t="s">
        <v>1857</v>
      </c>
      <c r="F543" s="15" t="s">
        <v>3108</v>
      </c>
      <c r="G543" s="1" t="s">
        <v>1385</v>
      </c>
      <c r="H543" s="1" t="s">
        <v>39</v>
      </c>
      <c r="I543" s="1" t="s">
        <v>1826</v>
      </c>
      <c r="J543" s="91">
        <v>20.0</v>
      </c>
      <c r="K543" s="39"/>
    </row>
    <row r="544">
      <c r="A544" s="1" t="s">
        <v>1824</v>
      </c>
      <c r="C544" s="1" t="s">
        <v>2384</v>
      </c>
      <c r="D544" s="15" t="s">
        <v>1859</v>
      </c>
      <c r="F544" s="15" t="s">
        <v>1860</v>
      </c>
      <c r="G544" s="1" t="s">
        <v>1861</v>
      </c>
      <c r="H544" s="1" t="s">
        <v>14</v>
      </c>
      <c r="I544" s="1" t="s">
        <v>1826</v>
      </c>
      <c r="J544" s="85">
        <v>21.0</v>
      </c>
      <c r="K544" s="39"/>
    </row>
    <row r="545">
      <c r="A545" s="69"/>
      <c r="B545" s="67"/>
      <c r="C545" s="67"/>
      <c r="D545" s="96"/>
      <c r="E545" s="67"/>
      <c r="F545" s="96"/>
      <c r="G545" s="67"/>
      <c r="H545" s="67"/>
      <c r="I545" s="67"/>
      <c r="J545" s="67"/>
      <c r="K545" s="67"/>
      <c r="L545" s="67"/>
      <c r="M545" s="67"/>
      <c r="N545" s="67"/>
      <c r="O545" s="67"/>
      <c r="P545" s="67"/>
      <c r="Q545" s="67"/>
      <c r="R545" s="67"/>
      <c r="S545" s="67"/>
      <c r="T545" s="67"/>
      <c r="U545" s="67"/>
      <c r="V545" s="67"/>
      <c r="W545" s="67"/>
      <c r="X545" s="67"/>
      <c r="Y545" s="67"/>
      <c r="Z545" s="67"/>
      <c r="AA545" s="67"/>
      <c r="AB545" s="67"/>
      <c r="AC545" s="67"/>
      <c r="AD545" s="67"/>
      <c r="AE545" s="67"/>
    </row>
    <row r="546">
      <c r="A546" s="1" t="s">
        <v>1862</v>
      </c>
      <c r="C546" s="1" t="s">
        <v>2303</v>
      </c>
      <c r="D546" s="16" t="s">
        <v>3111</v>
      </c>
      <c r="E546" s="9"/>
      <c r="F546" s="16" t="s">
        <v>1876</v>
      </c>
      <c r="G546" s="9"/>
      <c r="H546" s="14" t="s">
        <v>44</v>
      </c>
      <c r="I546" s="14" t="s">
        <v>15</v>
      </c>
      <c r="J546" s="14">
        <v>1.0</v>
      </c>
      <c r="K546" s="39"/>
      <c r="L546" s="1">
        <v>6.0</v>
      </c>
      <c r="M546" s="1" t="s">
        <v>1863</v>
      </c>
      <c r="N546" s="1" t="s">
        <v>1864</v>
      </c>
      <c r="O546" s="1" t="s">
        <v>1865</v>
      </c>
      <c r="P546" s="1" t="s">
        <v>1866</v>
      </c>
      <c r="Q546" s="14" t="s">
        <v>54</v>
      </c>
      <c r="R546" s="1" t="s">
        <v>1867</v>
      </c>
    </row>
    <row r="547">
      <c r="A547" s="1" t="s">
        <v>1862</v>
      </c>
      <c r="C547" s="1" t="s">
        <v>2303</v>
      </c>
      <c r="D547" s="16" t="s">
        <v>3112</v>
      </c>
      <c r="E547" s="14" t="s">
        <v>3113</v>
      </c>
      <c r="F547" s="16" t="s">
        <v>3114</v>
      </c>
      <c r="G547" s="14" t="s">
        <v>3115</v>
      </c>
      <c r="H547" s="14" t="s">
        <v>20</v>
      </c>
      <c r="I547" s="14" t="s">
        <v>15</v>
      </c>
      <c r="J547" s="14">
        <v>2.0</v>
      </c>
      <c r="K547" s="39"/>
      <c r="L547" s="1">
        <v>8.0</v>
      </c>
      <c r="M547" s="1" t="s">
        <v>1868</v>
      </c>
      <c r="N547" s="1" t="s">
        <v>1864</v>
      </c>
      <c r="O547" s="1" t="s">
        <v>1869</v>
      </c>
      <c r="P547" s="1" t="s">
        <v>1870</v>
      </c>
      <c r="Q547" s="1" t="s">
        <v>39</v>
      </c>
      <c r="R547" s="1" t="s">
        <v>1867</v>
      </c>
    </row>
    <row r="548">
      <c r="A548" s="1" t="s">
        <v>1862</v>
      </c>
      <c r="C548" s="1" t="s">
        <v>2303</v>
      </c>
      <c r="D548" s="16" t="s">
        <v>3116</v>
      </c>
      <c r="E548" s="9"/>
      <c r="F548" s="16" t="s">
        <v>1888</v>
      </c>
      <c r="G548" s="14" t="s">
        <v>1889</v>
      </c>
      <c r="H548" s="14" t="s">
        <v>39</v>
      </c>
      <c r="I548" s="14" t="s">
        <v>15</v>
      </c>
      <c r="J548" s="14">
        <v>3.0</v>
      </c>
      <c r="K548" s="39"/>
      <c r="L548" s="1">
        <v>9.0</v>
      </c>
      <c r="M548" s="1" t="s">
        <v>1871</v>
      </c>
      <c r="N548" s="1" t="s">
        <v>1872</v>
      </c>
      <c r="O548" s="1" t="s">
        <v>1873</v>
      </c>
      <c r="P548" s="1" t="s">
        <v>1874</v>
      </c>
      <c r="Q548" s="1" t="s">
        <v>54</v>
      </c>
      <c r="R548" s="1" t="s">
        <v>1867</v>
      </c>
    </row>
    <row r="549">
      <c r="A549" s="1" t="s">
        <v>1862</v>
      </c>
      <c r="C549" s="1" t="s">
        <v>2303</v>
      </c>
      <c r="D549" s="16" t="s">
        <v>3117</v>
      </c>
      <c r="E549" s="9"/>
      <c r="F549" s="16" t="s">
        <v>1892</v>
      </c>
      <c r="G549" s="9"/>
      <c r="H549" s="14" t="s">
        <v>39</v>
      </c>
      <c r="I549" s="14" t="s">
        <v>15</v>
      </c>
      <c r="J549" s="14">
        <v>4.0</v>
      </c>
      <c r="K549" s="39"/>
      <c r="L549" s="1">
        <v>1.0</v>
      </c>
      <c r="M549" s="1" t="s">
        <v>1875</v>
      </c>
      <c r="O549" s="1" t="s">
        <v>1876</v>
      </c>
      <c r="P549" s="1" t="s">
        <v>98</v>
      </c>
      <c r="Q549" s="1" t="s">
        <v>44</v>
      </c>
      <c r="R549" s="1" t="s">
        <v>1867</v>
      </c>
    </row>
    <row r="550">
      <c r="A550" s="1" t="s">
        <v>1862</v>
      </c>
      <c r="C550" s="1" t="s">
        <v>2303</v>
      </c>
      <c r="D550" s="16" t="s">
        <v>3118</v>
      </c>
      <c r="E550" s="9"/>
      <c r="F550" s="16" t="s">
        <v>3072</v>
      </c>
      <c r="G550" s="9"/>
      <c r="H550" s="14" t="s">
        <v>39</v>
      </c>
      <c r="I550" s="14" t="s">
        <v>15</v>
      </c>
      <c r="J550" s="14">
        <v>5.0</v>
      </c>
      <c r="K550" s="39"/>
      <c r="L550" s="1">
        <v>7.0</v>
      </c>
      <c r="M550" s="1" t="s">
        <v>1863</v>
      </c>
      <c r="N550" s="1" t="s">
        <v>1864</v>
      </c>
      <c r="O550" s="1" t="s">
        <v>1877</v>
      </c>
      <c r="P550" s="1" t="s">
        <v>3119</v>
      </c>
      <c r="Q550" s="1" t="s">
        <v>14</v>
      </c>
      <c r="R550" s="1" t="s">
        <v>1867</v>
      </c>
    </row>
    <row r="551">
      <c r="A551" s="1" t="s">
        <v>1862</v>
      </c>
      <c r="C551" s="1" t="s">
        <v>2384</v>
      </c>
      <c r="D551" s="16" t="s">
        <v>1863</v>
      </c>
      <c r="E551" s="14" t="s">
        <v>1864</v>
      </c>
      <c r="F551" s="16" t="s">
        <v>1865</v>
      </c>
      <c r="G551" s="14" t="s">
        <v>3119</v>
      </c>
      <c r="H551" s="14" t="s">
        <v>2388</v>
      </c>
      <c r="I551" s="14" t="s">
        <v>1867</v>
      </c>
      <c r="J551" s="14">
        <v>6.0</v>
      </c>
      <c r="K551" s="39"/>
      <c r="L551" s="1">
        <v>10.0</v>
      </c>
      <c r="M551" s="1" t="s">
        <v>1875</v>
      </c>
      <c r="O551" s="1" t="s">
        <v>1728</v>
      </c>
      <c r="P551" s="1" t="s">
        <v>585</v>
      </c>
      <c r="Q551" s="1" t="s">
        <v>44</v>
      </c>
      <c r="R551" s="1" t="s">
        <v>1867</v>
      </c>
    </row>
    <row r="552">
      <c r="A552" s="1" t="s">
        <v>1862</v>
      </c>
      <c r="C552" s="1" t="s">
        <v>2384</v>
      </c>
      <c r="D552" s="16" t="s">
        <v>1863</v>
      </c>
      <c r="E552" s="14" t="s">
        <v>1864</v>
      </c>
      <c r="F552" s="16" t="s">
        <v>1877</v>
      </c>
      <c r="G552" s="14" t="s">
        <v>3119</v>
      </c>
      <c r="H552" s="14" t="s">
        <v>14</v>
      </c>
      <c r="I552" s="14" t="s">
        <v>1867</v>
      </c>
      <c r="J552" s="14">
        <v>7.0</v>
      </c>
      <c r="K552" s="39"/>
      <c r="L552" s="1" t="s">
        <v>270</v>
      </c>
      <c r="M552" s="1" t="s">
        <v>1879</v>
      </c>
      <c r="N552" s="1" t="s">
        <v>1864</v>
      </c>
      <c r="O552" s="1" t="s">
        <v>1880</v>
      </c>
      <c r="P552" s="1" t="s">
        <v>1016</v>
      </c>
      <c r="Q552" s="1" t="s">
        <v>20</v>
      </c>
      <c r="R552" s="1" t="s">
        <v>1867</v>
      </c>
    </row>
    <row r="553">
      <c r="A553" s="1" t="s">
        <v>1862</v>
      </c>
      <c r="C553" s="1" t="s">
        <v>2384</v>
      </c>
      <c r="D553" s="16" t="s">
        <v>1868</v>
      </c>
      <c r="E553" s="14" t="s">
        <v>1864</v>
      </c>
      <c r="F553" s="16" t="s">
        <v>1869</v>
      </c>
      <c r="G553" s="14" t="s">
        <v>1870</v>
      </c>
      <c r="H553" s="14" t="s">
        <v>2388</v>
      </c>
      <c r="I553" s="14" t="s">
        <v>1867</v>
      </c>
      <c r="J553" s="14">
        <v>8.0</v>
      </c>
      <c r="K553" s="39"/>
      <c r="L553" s="1" t="s">
        <v>1881</v>
      </c>
      <c r="M553" s="1" t="s">
        <v>1879</v>
      </c>
      <c r="N553" s="1" t="s">
        <v>1864</v>
      </c>
      <c r="O553" s="1" t="s">
        <v>46</v>
      </c>
      <c r="P553" s="1" t="s">
        <v>3120</v>
      </c>
      <c r="Q553" s="1" t="s">
        <v>20</v>
      </c>
      <c r="R553" s="1" t="s">
        <v>1867</v>
      </c>
    </row>
    <row r="554">
      <c r="A554" s="1" t="s">
        <v>1862</v>
      </c>
      <c r="C554" s="1" t="s">
        <v>2384</v>
      </c>
      <c r="D554" s="16" t="s">
        <v>1871</v>
      </c>
      <c r="E554" s="14" t="s">
        <v>1872</v>
      </c>
      <c r="F554" s="16" t="s">
        <v>1873</v>
      </c>
      <c r="G554" s="14" t="s">
        <v>1874</v>
      </c>
      <c r="H554" s="14" t="s">
        <v>54</v>
      </c>
      <c r="I554" s="14" t="s">
        <v>1867</v>
      </c>
      <c r="J554" s="14">
        <v>9.0</v>
      </c>
      <c r="K554" s="39"/>
      <c r="L554" s="1" t="s">
        <v>1883</v>
      </c>
      <c r="M554" s="1" t="s">
        <v>1879</v>
      </c>
      <c r="N554" s="1" t="s">
        <v>1864</v>
      </c>
      <c r="O554" s="1" t="s">
        <v>1760</v>
      </c>
      <c r="P554" s="1" t="s">
        <v>1884</v>
      </c>
      <c r="Q554" s="1" t="s">
        <v>20</v>
      </c>
      <c r="R554" s="1" t="s">
        <v>1867</v>
      </c>
    </row>
    <row r="555">
      <c r="A555" s="1" t="s">
        <v>1862</v>
      </c>
      <c r="C555" s="1" t="s">
        <v>2384</v>
      </c>
      <c r="D555" s="16" t="s">
        <v>1875</v>
      </c>
      <c r="E555" s="9"/>
      <c r="F555" s="16" t="s">
        <v>1728</v>
      </c>
      <c r="G555" s="14" t="s">
        <v>585</v>
      </c>
      <c r="H555" s="14" t="s">
        <v>54</v>
      </c>
      <c r="I555" s="14" t="s">
        <v>1867</v>
      </c>
      <c r="J555" s="14">
        <v>10.0</v>
      </c>
      <c r="K555" s="39"/>
      <c r="L555" s="1" t="s">
        <v>1885</v>
      </c>
      <c r="M555" s="1" t="s">
        <v>1886</v>
      </c>
      <c r="N555" s="1" t="s">
        <v>1887</v>
      </c>
      <c r="O555" s="1" t="s">
        <v>1888</v>
      </c>
      <c r="P555" s="1" t="s">
        <v>1889</v>
      </c>
      <c r="Q555" s="1" t="s">
        <v>39</v>
      </c>
      <c r="R555" s="1" t="s">
        <v>1867</v>
      </c>
      <c r="S555" s="14"/>
    </row>
    <row r="556">
      <c r="A556" s="1" t="s">
        <v>1862</v>
      </c>
      <c r="C556" s="1" t="s">
        <v>2384</v>
      </c>
      <c r="D556" s="16" t="s">
        <v>1879</v>
      </c>
      <c r="E556" s="14" t="s">
        <v>1864</v>
      </c>
      <c r="F556" s="16" t="s">
        <v>1880</v>
      </c>
      <c r="G556" s="14" t="s">
        <v>1016</v>
      </c>
      <c r="H556" s="14" t="s">
        <v>20</v>
      </c>
      <c r="I556" s="14" t="s">
        <v>1867</v>
      </c>
      <c r="J556" s="14">
        <v>11.0</v>
      </c>
      <c r="K556" s="39"/>
      <c r="L556" s="1" t="s">
        <v>218</v>
      </c>
      <c r="M556" s="1" t="s">
        <v>1890</v>
      </c>
      <c r="N556" s="1" t="s">
        <v>503</v>
      </c>
      <c r="O556" s="1" t="s">
        <v>540</v>
      </c>
      <c r="P556" s="1" t="s">
        <v>541</v>
      </c>
      <c r="Q556" s="1" t="s">
        <v>39</v>
      </c>
      <c r="R556" s="1" t="s">
        <v>1867</v>
      </c>
    </row>
    <row r="557">
      <c r="A557" s="1" t="s">
        <v>1862</v>
      </c>
      <c r="C557" s="17" t="s">
        <v>2384</v>
      </c>
      <c r="D557" s="16" t="s">
        <v>1879</v>
      </c>
      <c r="E557" s="14" t="s">
        <v>1864</v>
      </c>
      <c r="F557" s="16" t="s">
        <v>46</v>
      </c>
      <c r="G557" s="14" t="s">
        <v>3120</v>
      </c>
      <c r="H557" s="14" t="s">
        <v>20</v>
      </c>
      <c r="I557" s="14" t="s">
        <v>1867</v>
      </c>
      <c r="J557" s="14">
        <v>12.0</v>
      </c>
      <c r="K557" s="39"/>
      <c r="L557" s="1">
        <v>20.0</v>
      </c>
      <c r="M557" s="22" t="s">
        <v>1891</v>
      </c>
      <c r="N557" s="22"/>
      <c r="O557" s="22" t="s">
        <v>1386</v>
      </c>
      <c r="P557" s="22" t="s">
        <v>1892</v>
      </c>
      <c r="Q557" s="22" t="s">
        <v>39</v>
      </c>
      <c r="R557" s="22" t="s">
        <v>1867</v>
      </c>
      <c r="S557" s="134"/>
    </row>
    <row r="558">
      <c r="A558" s="1" t="s">
        <v>1862</v>
      </c>
      <c r="C558" s="17" t="s">
        <v>2384</v>
      </c>
      <c r="D558" s="16" t="s">
        <v>1879</v>
      </c>
      <c r="E558" s="14" t="s">
        <v>1864</v>
      </c>
      <c r="F558" s="16" t="s">
        <v>1760</v>
      </c>
      <c r="G558" s="14" t="s">
        <v>1884</v>
      </c>
      <c r="H558" s="14" t="s">
        <v>20</v>
      </c>
      <c r="I558" s="14" t="s">
        <v>1867</v>
      </c>
      <c r="J558" s="14">
        <v>13.0</v>
      </c>
      <c r="K558" s="39"/>
      <c r="L558" s="1" t="s">
        <v>1893</v>
      </c>
      <c r="M558" s="1" t="s">
        <v>1891</v>
      </c>
      <c r="O558" s="1" t="s">
        <v>2392</v>
      </c>
      <c r="P558" s="1" t="s">
        <v>364</v>
      </c>
      <c r="Q558" s="1" t="s">
        <v>39</v>
      </c>
      <c r="R558" s="1" t="s">
        <v>1867</v>
      </c>
    </row>
    <row r="559">
      <c r="A559" s="1" t="s">
        <v>1862</v>
      </c>
      <c r="C559" s="17" t="s">
        <v>2384</v>
      </c>
      <c r="D559" s="15" t="s">
        <v>1879</v>
      </c>
      <c r="E559" s="1" t="s">
        <v>1864</v>
      </c>
      <c r="F559" s="15" t="s">
        <v>3121</v>
      </c>
      <c r="G559" s="1" t="s">
        <v>3122</v>
      </c>
      <c r="H559" s="1" t="s">
        <v>20</v>
      </c>
      <c r="I559" s="1" t="s">
        <v>1867</v>
      </c>
      <c r="J559" s="1">
        <v>14.0</v>
      </c>
      <c r="K559" s="39"/>
      <c r="L559" s="1">
        <v>22.0</v>
      </c>
      <c r="M559" s="22" t="s">
        <v>1891</v>
      </c>
      <c r="N559" s="35" t="s">
        <v>1895</v>
      </c>
      <c r="O559" s="22" t="s">
        <v>1386</v>
      </c>
      <c r="P559" s="22" t="s">
        <v>1896</v>
      </c>
      <c r="Q559" s="22" t="s">
        <v>39</v>
      </c>
      <c r="R559" s="22" t="s">
        <v>1867</v>
      </c>
    </row>
    <row r="560">
      <c r="A560" s="1" t="s">
        <v>1862</v>
      </c>
      <c r="C560" s="17" t="s">
        <v>2384</v>
      </c>
      <c r="D560" s="16" t="s">
        <v>1898</v>
      </c>
      <c r="E560" s="14" t="s">
        <v>1899</v>
      </c>
      <c r="F560" s="16" t="s">
        <v>1900</v>
      </c>
      <c r="G560" s="14" t="s">
        <v>358</v>
      </c>
      <c r="H560" s="14" t="s">
        <v>39</v>
      </c>
      <c r="I560" s="14" t="s">
        <v>1867</v>
      </c>
      <c r="J560" s="14">
        <v>15.0</v>
      </c>
      <c r="K560" s="39"/>
      <c r="L560" s="1" t="s">
        <v>1897</v>
      </c>
      <c r="M560" s="1" t="s">
        <v>1898</v>
      </c>
      <c r="N560" s="1" t="s">
        <v>1899</v>
      </c>
      <c r="O560" s="1" t="s">
        <v>1900</v>
      </c>
      <c r="P560" s="1" t="s">
        <v>358</v>
      </c>
      <c r="Q560" s="1" t="s">
        <v>39</v>
      </c>
      <c r="R560" s="1" t="s">
        <v>1867</v>
      </c>
    </row>
    <row r="561">
      <c r="A561" s="1" t="s">
        <v>1862</v>
      </c>
      <c r="C561" s="17" t="s">
        <v>2384</v>
      </c>
      <c r="D561" s="16" t="s">
        <v>1898</v>
      </c>
      <c r="E561" s="14" t="s">
        <v>1899</v>
      </c>
      <c r="F561" s="16" t="s">
        <v>3123</v>
      </c>
      <c r="G561" s="14" t="s">
        <v>358</v>
      </c>
      <c r="H561" s="14" t="s">
        <v>39</v>
      </c>
      <c r="I561" s="14" t="s">
        <v>1867</v>
      </c>
      <c r="J561" s="14">
        <v>16.0</v>
      </c>
      <c r="K561" s="39"/>
    </row>
    <row r="562">
      <c r="A562" s="1" t="s">
        <v>1862</v>
      </c>
      <c r="C562" s="22" t="s">
        <v>2384</v>
      </c>
      <c r="D562" s="16" t="s">
        <v>1898</v>
      </c>
      <c r="E562" s="9"/>
      <c r="F562" s="16" t="s">
        <v>3124</v>
      </c>
      <c r="G562" s="14" t="s">
        <v>358</v>
      </c>
      <c r="H562" s="14" t="s">
        <v>39</v>
      </c>
      <c r="I562" s="14" t="s">
        <v>1867</v>
      </c>
      <c r="J562" s="14">
        <v>17.0</v>
      </c>
      <c r="K562" s="39"/>
    </row>
    <row r="563">
      <c r="A563" s="1" t="s">
        <v>1862</v>
      </c>
      <c r="C563" s="22" t="s">
        <v>2384</v>
      </c>
      <c r="D563" s="16" t="s">
        <v>1898</v>
      </c>
      <c r="E563" s="9"/>
      <c r="F563" s="16" t="s">
        <v>3125</v>
      </c>
      <c r="G563" s="14" t="s">
        <v>3126</v>
      </c>
      <c r="H563" s="14" t="s">
        <v>39</v>
      </c>
      <c r="I563" s="14" t="s">
        <v>1867</v>
      </c>
      <c r="J563" s="14">
        <v>18.0</v>
      </c>
      <c r="K563" s="39"/>
    </row>
    <row r="564">
      <c r="A564" s="1" t="s">
        <v>1862</v>
      </c>
      <c r="C564" s="22" t="s">
        <v>2384</v>
      </c>
      <c r="D564" s="16" t="s">
        <v>1890</v>
      </c>
      <c r="E564" s="9"/>
      <c r="F564" s="16" t="s">
        <v>540</v>
      </c>
      <c r="G564" s="14" t="s">
        <v>541</v>
      </c>
      <c r="H564" s="14" t="s">
        <v>39</v>
      </c>
      <c r="I564" s="14" t="s">
        <v>1867</v>
      </c>
      <c r="J564" s="14">
        <v>19.0</v>
      </c>
      <c r="K564" s="39"/>
    </row>
    <row r="565">
      <c r="A565" s="1" t="s">
        <v>1862</v>
      </c>
      <c r="C565" s="22" t="s">
        <v>2384</v>
      </c>
      <c r="D565" s="16" t="s">
        <v>1891</v>
      </c>
      <c r="E565" s="9"/>
      <c r="F565" s="16" t="s">
        <v>1386</v>
      </c>
      <c r="G565" s="14" t="s">
        <v>1892</v>
      </c>
      <c r="H565" s="14" t="s">
        <v>39</v>
      </c>
      <c r="I565" s="14" t="s">
        <v>1867</v>
      </c>
      <c r="J565" s="14">
        <v>20.0</v>
      </c>
      <c r="K565" s="39"/>
    </row>
    <row r="566">
      <c r="A566" s="1" t="s">
        <v>1862</v>
      </c>
      <c r="C566" s="22" t="s">
        <v>2384</v>
      </c>
      <c r="D566" s="16" t="s">
        <v>1891</v>
      </c>
      <c r="E566" s="9"/>
      <c r="F566" s="16" t="s">
        <v>2392</v>
      </c>
      <c r="G566" s="14" t="s">
        <v>364</v>
      </c>
      <c r="H566" s="14" t="s">
        <v>39</v>
      </c>
      <c r="I566" s="14" t="s">
        <v>1867</v>
      </c>
      <c r="J566" s="14">
        <v>21.0</v>
      </c>
      <c r="K566" s="39"/>
    </row>
    <row r="567">
      <c r="A567" s="1" t="s">
        <v>1862</v>
      </c>
      <c r="C567" s="22" t="s">
        <v>2384</v>
      </c>
      <c r="D567" s="16" t="s">
        <v>1891</v>
      </c>
      <c r="E567" s="9"/>
      <c r="F567" s="16" t="s">
        <v>1386</v>
      </c>
      <c r="G567" s="14" t="s">
        <v>1896</v>
      </c>
      <c r="H567" s="14" t="s">
        <v>39</v>
      </c>
      <c r="I567" s="14" t="s">
        <v>1867</v>
      </c>
      <c r="J567" s="14">
        <v>22.0</v>
      </c>
      <c r="K567" s="39"/>
    </row>
    <row r="568">
      <c r="A568" s="69"/>
      <c r="B568" s="67"/>
      <c r="C568" s="67"/>
      <c r="D568" s="96"/>
      <c r="E568" s="67"/>
      <c r="F568" s="96"/>
      <c r="G568" s="67"/>
      <c r="H568" s="67"/>
      <c r="I568" s="67"/>
      <c r="J568" s="67"/>
      <c r="K568" s="67"/>
      <c r="L568" s="67"/>
      <c r="M568" s="67"/>
      <c r="N568" s="67"/>
      <c r="O568" s="67"/>
      <c r="P568" s="67"/>
      <c r="Q568" s="67"/>
      <c r="R568" s="67"/>
      <c r="S568" s="67"/>
      <c r="T568" s="67"/>
      <c r="U568" s="67"/>
      <c r="V568" s="67"/>
      <c r="W568" s="67"/>
      <c r="X568" s="67"/>
      <c r="Y568" s="67"/>
      <c r="Z568" s="67"/>
      <c r="AA568" s="67"/>
      <c r="AB568" s="67"/>
      <c r="AC568" s="67"/>
      <c r="AD568" s="67"/>
      <c r="AE568" s="67"/>
    </row>
    <row r="569">
      <c r="A569" s="17" t="s">
        <v>1901</v>
      </c>
      <c r="C569" s="35" t="s">
        <v>2572</v>
      </c>
      <c r="D569" s="16" t="s">
        <v>3127</v>
      </c>
      <c r="E569" s="14" t="s">
        <v>11</v>
      </c>
      <c r="F569" s="16" t="s">
        <v>1912</v>
      </c>
      <c r="G569" s="14" t="s">
        <v>3128</v>
      </c>
      <c r="H569" s="14" t="s">
        <v>14</v>
      </c>
      <c r="I569" s="14" t="s">
        <v>806</v>
      </c>
      <c r="J569" s="14">
        <v>1.0</v>
      </c>
      <c r="K569" s="39"/>
      <c r="L569" s="14" t="s">
        <v>1902</v>
      </c>
      <c r="M569" s="35" t="s">
        <v>1903</v>
      </c>
      <c r="N569" s="1" t="s">
        <v>1904</v>
      </c>
      <c r="O569" s="35" t="s">
        <v>1905</v>
      </c>
      <c r="P569" s="35" t="s">
        <v>3129</v>
      </c>
      <c r="Q569" s="1" t="s">
        <v>14</v>
      </c>
      <c r="R569" s="1" t="s">
        <v>806</v>
      </c>
    </row>
    <row r="570">
      <c r="A570" s="17" t="s">
        <v>1901</v>
      </c>
      <c r="C570" s="35" t="s">
        <v>2572</v>
      </c>
      <c r="D570" s="16" t="s">
        <v>3130</v>
      </c>
      <c r="E570" s="14" t="s">
        <v>3131</v>
      </c>
      <c r="F570" s="16" t="s">
        <v>1915</v>
      </c>
      <c r="G570" s="14" t="s">
        <v>1916</v>
      </c>
      <c r="H570" s="14" t="s">
        <v>20</v>
      </c>
      <c r="I570" s="14" t="s">
        <v>806</v>
      </c>
      <c r="J570" s="14">
        <v>2.0</v>
      </c>
      <c r="K570" s="39"/>
      <c r="L570" s="1">
        <v>14.0</v>
      </c>
      <c r="M570" s="1" t="s">
        <v>1907</v>
      </c>
      <c r="N570" s="35" t="s">
        <v>1908</v>
      </c>
      <c r="O570" s="1" t="s">
        <v>1909</v>
      </c>
      <c r="P570" s="1" t="s">
        <v>1910</v>
      </c>
      <c r="Q570" s="1" t="s">
        <v>14</v>
      </c>
      <c r="R570" s="1" t="s">
        <v>806</v>
      </c>
    </row>
    <row r="571">
      <c r="A571" s="17" t="s">
        <v>1901</v>
      </c>
      <c r="C571" s="35" t="s">
        <v>2572</v>
      </c>
      <c r="D571" s="16" t="s">
        <v>3130</v>
      </c>
      <c r="E571" s="14" t="s">
        <v>3131</v>
      </c>
      <c r="F571" s="16" t="s">
        <v>1917</v>
      </c>
      <c r="G571" s="14" t="s">
        <v>1918</v>
      </c>
      <c r="H571" s="14" t="s">
        <v>20</v>
      </c>
      <c r="I571" s="14" t="s">
        <v>806</v>
      </c>
      <c r="J571" s="14">
        <v>3.0</v>
      </c>
      <c r="K571" s="39"/>
      <c r="L571" s="1">
        <v>1.0</v>
      </c>
      <c r="M571" s="35" t="s">
        <v>1911</v>
      </c>
      <c r="N571" s="35" t="s">
        <v>1908</v>
      </c>
      <c r="O571" s="22" t="s">
        <v>1912</v>
      </c>
      <c r="P571" s="35" t="s">
        <v>1913</v>
      </c>
      <c r="Q571" s="1" t="s">
        <v>14</v>
      </c>
      <c r="R571" s="1" t="s">
        <v>806</v>
      </c>
    </row>
    <row r="572">
      <c r="A572" s="17" t="s">
        <v>1901</v>
      </c>
      <c r="C572" s="35" t="s">
        <v>2572</v>
      </c>
      <c r="D572" s="16" t="s">
        <v>3132</v>
      </c>
      <c r="E572" s="14" t="s">
        <v>1921</v>
      </c>
      <c r="F572" s="16" t="s">
        <v>1922</v>
      </c>
      <c r="G572" s="14" t="s">
        <v>1923</v>
      </c>
      <c r="H572" s="14" t="s">
        <v>14</v>
      </c>
      <c r="I572" s="14" t="s">
        <v>806</v>
      </c>
      <c r="J572" s="14">
        <v>4.0</v>
      </c>
      <c r="K572" s="39"/>
      <c r="L572" s="1" t="s">
        <v>208</v>
      </c>
      <c r="M572" s="35" t="s">
        <v>1914</v>
      </c>
      <c r="N572" s="35" t="s">
        <v>1908</v>
      </c>
      <c r="O572" s="22" t="s">
        <v>1915</v>
      </c>
      <c r="P572" s="22" t="s">
        <v>1916</v>
      </c>
      <c r="Q572" s="22" t="s">
        <v>20</v>
      </c>
      <c r="R572" s="1" t="s">
        <v>806</v>
      </c>
    </row>
    <row r="573">
      <c r="A573" s="17" t="s">
        <v>1901</v>
      </c>
      <c r="C573" s="35" t="s">
        <v>2572</v>
      </c>
      <c r="D573" s="16" t="s">
        <v>3133</v>
      </c>
      <c r="E573" s="14" t="s">
        <v>3057</v>
      </c>
      <c r="F573" s="16" t="s">
        <v>3134</v>
      </c>
      <c r="G573" s="14" t="s">
        <v>3135</v>
      </c>
      <c r="H573" s="14" t="s">
        <v>54</v>
      </c>
      <c r="I573" s="14" t="s">
        <v>806</v>
      </c>
      <c r="J573" s="14">
        <v>5.0</v>
      </c>
      <c r="K573" s="39"/>
      <c r="L573" s="1" t="s">
        <v>213</v>
      </c>
      <c r="M573" s="35" t="s">
        <v>1914</v>
      </c>
      <c r="N573" s="35" t="s">
        <v>1908</v>
      </c>
      <c r="O573" s="22" t="s">
        <v>1917</v>
      </c>
      <c r="P573" s="22" t="s">
        <v>1918</v>
      </c>
      <c r="Q573" s="22" t="s">
        <v>20</v>
      </c>
      <c r="R573" s="1" t="s">
        <v>806</v>
      </c>
    </row>
    <row r="574">
      <c r="A574" s="17" t="s">
        <v>1901</v>
      </c>
      <c r="C574" s="35" t="s">
        <v>2572</v>
      </c>
      <c r="D574" s="16" t="s">
        <v>3133</v>
      </c>
      <c r="E574" s="14" t="s">
        <v>3136</v>
      </c>
      <c r="F574" s="16" t="s">
        <v>3137</v>
      </c>
      <c r="G574" s="14" t="s">
        <v>3138</v>
      </c>
      <c r="H574" s="14" t="s">
        <v>14</v>
      </c>
      <c r="I574" s="14" t="s">
        <v>806</v>
      </c>
      <c r="J574" s="14">
        <v>6.0</v>
      </c>
      <c r="K574" s="39"/>
      <c r="L574" s="1" t="s">
        <v>1919</v>
      </c>
      <c r="M574" s="35" t="s">
        <v>1920</v>
      </c>
      <c r="N574" s="22" t="s">
        <v>1921</v>
      </c>
      <c r="O574" s="22" t="s">
        <v>1922</v>
      </c>
      <c r="P574" s="22" t="s">
        <v>1923</v>
      </c>
      <c r="Q574" s="22" t="s">
        <v>14</v>
      </c>
      <c r="R574" s="1" t="s">
        <v>806</v>
      </c>
    </row>
    <row r="575">
      <c r="A575" s="17" t="s">
        <v>1901</v>
      </c>
      <c r="C575" s="35" t="s">
        <v>2572</v>
      </c>
      <c r="D575" s="16" t="s">
        <v>3139</v>
      </c>
      <c r="E575" s="14" t="s">
        <v>1935</v>
      </c>
      <c r="F575" s="16" t="s">
        <v>1929</v>
      </c>
      <c r="G575" s="14" t="s">
        <v>1930</v>
      </c>
      <c r="H575" s="14" t="s">
        <v>39</v>
      </c>
      <c r="I575" s="14" t="s">
        <v>806</v>
      </c>
      <c r="J575" s="14">
        <v>7.0</v>
      </c>
      <c r="K575" s="39"/>
      <c r="L575" s="1" t="s">
        <v>3140</v>
      </c>
      <c r="M575" s="35" t="s">
        <v>3141</v>
      </c>
      <c r="N575" s="35" t="s">
        <v>1924</v>
      </c>
      <c r="O575" s="22" t="s">
        <v>3137</v>
      </c>
      <c r="P575" s="35" t="s">
        <v>3142</v>
      </c>
      <c r="Q575" s="22" t="s">
        <v>14</v>
      </c>
      <c r="R575" s="1" t="s">
        <v>806</v>
      </c>
    </row>
    <row r="576">
      <c r="A576" s="17" t="s">
        <v>1901</v>
      </c>
      <c r="C576" s="35" t="s">
        <v>2572</v>
      </c>
      <c r="D576" s="16" t="s">
        <v>3143</v>
      </c>
      <c r="E576" s="14" t="s">
        <v>1935</v>
      </c>
      <c r="F576" s="16" t="s">
        <v>1936</v>
      </c>
      <c r="G576" s="14" t="s">
        <v>1937</v>
      </c>
      <c r="H576" s="14" t="s">
        <v>39</v>
      </c>
      <c r="I576" s="14" t="s">
        <v>806</v>
      </c>
      <c r="J576" s="14">
        <v>8.0</v>
      </c>
      <c r="K576" s="39"/>
      <c r="L576" s="1">
        <v>19.0</v>
      </c>
      <c r="M576" s="1" t="s">
        <v>1920</v>
      </c>
      <c r="N576" s="8" t="s">
        <v>1924</v>
      </c>
      <c r="O576" s="8" t="s">
        <v>1925</v>
      </c>
      <c r="P576" s="35" t="s">
        <v>3142</v>
      </c>
      <c r="Q576" s="8" t="s">
        <v>20</v>
      </c>
      <c r="R576" s="1" t="s">
        <v>806</v>
      </c>
    </row>
    <row r="577">
      <c r="A577" s="17" t="s">
        <v>1901</v>
      </c>
      <c r="C577" s="35" t="s">
        <v>2572</v>
      </c>
      <c r="D577" s="16" t="s">
        <v>3144</v>
      </c>
      <c r="E577" s="14" t="s">
        <v>1935</v>
      </c>
      <c r="F577" s="16" t="s">
        <v>3145</v>
      </c>
      <c r="G577" s="14" t="s">
        <v>3146</v>
      </c>
      <c r="H577" s="14" t="s">
        <v>54</v>
      </c>
      <c r="I577" s="14" t="s">
        <v>806</v>
      </c>
      <c r="J577" s="14">
        <v>9.0</v>
      </c>
      <c r="K577" s="39"/>
      <c r="L577" s="1" t="s">
        <v>1927</v>
      </c>
      <c r="M577" s="35" t="s">
        <v>1928</v>
      </c>
      <c r="N577" s="35" t="s">
        <v>1056</v>
      </c>
      <c r="O577" s="22" t="s">
        <v>1929</v>
      </c>
      <c r="P577" s="22" t="s">
        <v>1930</v>
      </c>
      <c r="Q577" s="22" t="s">
        <v>39</v>
      </c>
      <c r="R577" s="1" t="s">
        <v>806</v>
      </c>
    </row>
    <row r="578">
      <c r="A578" s="17" t="s">
        <v>1901</v>
      </c>
      <c r="C578" s="35" t="s">
        <v>2572</v>
      </c>
      <c r="D578" s="16" t="s">
        <v>1947</v>
      </c>
      <c r="E578" s="14" t="s">
        <v>1944</v>
      </c>
      <c r="F578" s="16" t="s">
        <v>3147</v>
      </c>
      <c r="G578" s="14" t="s">
        <v>1946</v>
      </c>
      <c r="H578" s="14" t="s">
        <v>39</v>
      </c>
      <c r="I578" s="14" t="s">
        <v>806</v>
      </c>
      <c r="J578" s="14">
        <v>10.0</v>
      </c>
      <c r="K578" s="39"/>
      <c r="L578" s="1">
        <v>24.0</v>
      </c>
      <c r="M578" s="35" t="s">
        <v>1931</v>
      </c>
      <c r="N578" s="22"/>
      <c r="O578" s="22" t="s">
        <v>1932</v>
      </c>
      <c r="P578" s="22" t="s">
        <v>585</v>
      </c>
      <c r="Q578" s="35" t="s">
        <v>44</v>
      </c>
      <c r="R578" s="1" t="s">
        <v>806</v>
      </c>
      <c r="S578" s="134"/>
    </row>
    <row r="579">
      <c r="A579" s="17" t="s">
        <v>1901</v>
      </c>
      <c r="C579" s="35" t="s">
        <v>2572</v>
      </c>
      <c r="D579" s="16" t="s">
        <v>1947</v>
      </c>
      <c r="E579" s="14" t="s">
        <v>1944</v>
      </c>
      <c r="F579" s="16" t="s">
        <v>1948</v>
      </c>
      <c r="G579" s="14" t="s">
        <v>3148</v>
      </c>
      <c r="H579" s="14" t="s">
        <v>39</v>
      </c>
      <c r="I579" s="14" t="s">
        <v>806</v>
      </c>
      <c r="J579" s="14">
        <v>11.0</v>
      </c>
      <c r="K579" s="39"/>
      <c r="L579" s="1" t="s">
        <v>1933</v>
      </c>
      <c r="M579" s="35" t="s">
        <v>1934</v>
      </c>
      <c r="N579" s="22" t="s">
        <v>1935</v>
      </c>
      <c r="O579" s="22" t="s">
        <v>1936</v>
      </c>
      <c r="P579" s="22" t="s">
        <v>1937</v>
      </c>
      <c r="Q579" s="22" t="s">
        <v>39</v>
      </c>
      <c r="R579" s="1" t="s">
        <v>806</v>
      </c>
    </row>
    <row r="580">
      <c r="A580" s="17" t="s">
        <v>1901</v>
      </c>
      <c r="C580" s="35" t="s">
        <v>2572</v>
      </c>
      <c r="D580" s="16" t="s">
        <v>3149</v>
      </c>
      <c r="E580" s="14" t="s">
        <v>1944</v>
      </c>
      <c r="F580" s="16" t="s">
        <v>3150</v>
      </c>
      <c r="G580" s="14" t="s">
        <v>3151</v>
      </c>
      <c r="H580" s="14" t="s">
        <v>39</v>
      </c>
      <c r="I580" s="14" t="s">
        <v>806</v>
      </c>
      <c r="J580" s="14">
        <v>12.0</v>
      </c>
      <c r="K580" s="39"/>
      <c r="L580" s="1" t="s">
        <v>1938</v>
      </c>
      <c r="M580" s="1" t="s">
        <v>1939</v>
      </c>
      <c r="N580" s="1" t="s">
        <v>1935</v>
      </c>
      <c r="O580" s="1" t="s">
        <v>1940</v>
      </c>
      <c r="P580" s="1" t="s">
        <v>1941</v>
      </c>
      <c r="Q580" s="1" t="s">
        <v>54</v>
      </c>
      <c r="R580" s="1" t="s">
        <v>806</v>
      </c>
    </row>
    <row r="581">
      <c r="A581" s="17" t="s">
        <v>1901</v>
      </c>
      <c r="C581" s="1" t="s">
        <v>2384</v>
      </c>
      <c r="D581" s="135" t="s">
        <v>3152</v>
      </c>
      <c r="E581" s="61"/>
      <c r="F581" s="135" t="s">
        <v>3153</v>
      </c>
      <c r="G581" s="61" t="s">
        <v>3154</v>
      </c>
      <c r="H581" s="61" t="s">
        <v>14</v>
      </c>
      <c r="I581" s="60" t="s">
        <v>806</v>
      </c>
      <c r="J581" s="14">
        <v>13.0</v>
      </c>
      <c r="K581" s="39"/>
      <c r="L581" s="1" t="s">
        <v>1942</v>
      </c>
      <c r="M581" s="1" t="s">
        <v>1943</v>
      </c>
      <c r="N581" s="1" t="s">
        <v>1944</v>
      </c>
      <c r="O581" s="1" t="s">
        <v>1945</v>
      </c>
      <c r="P581" s="1" t="s">
        <v>1946</v>
      </c>
      <c r="Q581" s="1" t="s">
        <v>39</v>
      </c>
      <c r="R581" s="1" t="s">
        <v>806</v>
      </c>
    </row>
    <row r="582">
      <c r="A582" s="17" t="s">
        <v>1901</v>
      </c>
      <c r="C582" s="1" t="s">
        <v>2384</v>
      </c>
      <c r="D582" s="135" t="s">
        <v>3155</v>
      </c>
      <c r="E582" s="61" t="s">
        <v>3156</v>
      </c>
      <c r="F582" s="135" t="s">
        <v>1909</v>
      </c>
      <c r="G582" s="61" t="s">
        <v>1910</v>
      </c>
      <c r="H582" s="61" t="s">
        <v>14</v>
      </c>
      <c r="I582" s="61" t="s">
        <v>806</v>
      </c>
      <c r="J582" s="14">
        <v>14.0</v>
      </c>
      <c r="K582" s="39"/>
      <c r="L582" s="1">
        <v>11.0</v>
      </c>
      <c r="M582" s="1" t="s">
        <v>1947</v>
      </c>
      <c r="N582" s="1" t="s">
        <v>1944</v>
      </c>
      <c r="O582" s="1" t="s">
        <v>1948</v>
      </c>
      <c r="P582" s="1" t="s">
        <v>1949</v>
      </c>
      <c r="Q582" s="1" t="s">
        <v>39</v>
      </c>
      <c r="R582" s="1" t="s">
        <v>806</v>
      </c>
    </row>
    <row r="583">
      <c r="A583" s="17" t="s">
        <v>1901</v>
      </c>
      <c r="C583" s="1" t="s">
        <v>2384</v>
      </c>
      <c r="D583" s="136" t="s">
        <v>3157</v>
      </c>
      <c r="E583" s="137" t="s">
        <v>3156</v>
      </c>
      <c r="F583" s="136" t="s">
        <v>3158</v>
      </c>
      <c r="G583" s="137" t="s">
        <v>1910</v>
      </c>
      <c r="H583" s="137" t="s">
        <v>14</v>
      </c>
      <c r="I583" s="137" t="s">
        <v>806</v>
      </c>
      <c r="J583" s="138">
        <v>15.0</v>
      </c>
      <c r="K583" s="39"/>
      <c r="L583" s="1">
        <v>27.0</v>
      </c>
      <c r="M583" s="1" t="s">
        <v>1950</v>
      </c>
      <c r="N583" s="1" t="s">
        <v>1951</v>
      </c>
      <c r="O583" s="1" t="s">
        <v>1952</v>
      </c>
      <c r="P583" s="1" t="s">
        <v>3159</v>
      </c>
      <c r="Q583" s="1" t="s">
        <v>39</v>
      </c>
      <c r="R583" s="1" t="s">
        <v>806</v>
      </c>
    </row>
    <row r="584">
      <c r="A584" s="17" t="s">
        <v>1901</v>
      </c>
      <c r="C584" s="1" t="s">
        <v>2384</v>
      </c>
      <c r="D584" s="135" t="s">
        <v>3157</v>
      </c>
      <c r="E584" s="61" t="s">
        <v>3160</v>
      </c>
      <c r="F584" s="135" t="s">
        <v>3161</v>
      </c>
      <c r="G584" s="61" t="s">
        <v>3162</v>
      </c>
      <c r="H584" s="61" t="s">
        <v>14</v>
      </c>
      <c r="I584" s="61" t="s">
        <v>806</v>
      </c>
      <c r="J584" s="14">
        <v>16.0</v>
      </c>
      <c r="K584" s="39"/>
      <c r="L584" s="1">
        <v>28.0</v>
      </c>
      <c r="M584" s="1" t="s">
        <v>1954</v>
      </c>
      <c r="O584" s="1" t="s">
        <v>1955</v>
      </c>
      <c r="P584" s="1" t="s">
        <v>1956</v>
      </c>
      <c r="Q584" s="1" t="s">
        <v>924</v>
      </c>
      <c r="R584" s="1" t="s">
        <v>806</v>
      </c>
      <c r="S584" s="1">
        <v>28.0</v>
      </c>
    </row>
    <row r="585">
      <c r="A585" s="17" t="s">
        <v>1901</v>
      </c>
      <c r="C585" s="14" t="s">
        <v>2384</v>
      </c>
      <c r="D585" s="135" t="s">
        <v>3163</v>
      </c>
      <c r="E585" s="61"/>
      <c r="F585" s="139" t="s">
        <v>3164</v>
      </c>
      <c r="G585" s="61" t="s">
        <v>3165</v>
      </c>
      <c r="H585" s="61" t="s">
        <v>20</v>
      </c>
      <c r="I585" s="61" t="s">
        <v>806</v>
      </c>
      <c r="J585" s="14">
        <v>17.0</v>
      </c>
      <c r="K585" s="39"/>
      <c r="L585" s="1" t="s">
        <v>1957</v>
      </c>
      <c r="M585" s="1" t="s">
        <v>1954</v>
      </c>
      <c r="N585" s="1" t="s">
        <v>725</v>
      </c>
      <c r="O585" s="1" t="s">
        <v>1958</v>
      </c>
      <c r="P585" s="1" t="s">
        <v>1956</v>
      </c>
      <c r="Q585" s="1" t="s">
        <v>39</v>
      </c>
      <c r="R585" s="1" t="s">
        <v>806</v>
      </c>
    </row>
    <row r="586">
      <c r="A586" s="17" t="s">
        <v>1901</v>
      </c>
      <c r="C586" s="1" t="s">
        <v>2384</v>
      </c>
      <c r="D586" s="135" t="s">
        <v>3163</v>
      </c>
      <c r="E586" s="61" t="s">
        <v>3160</v>
      </c>
      <c r="F586" s="135" t="s">
        <v>3166</v>
      </c>
      <c r="G586" s="61" t="s">
        <v>3165</v>
      </c>
      <c r="H586" s="61" t="s">
        <v>20</v>
      </c>
      <c r="I586" s="61" t="s">
        <v>806</v>
      </c>
      <c r="J586" s="14">
        <v>18.0</v>
      </c>
      <c r="K586" s="39"/>
    </row>
    <row r="587">
      <c r="A587" s="17" t="s">
        <v>1901</v>
      </c>
      <c r="C587" s="1" t="s">
        <v>2384</v>
      </c>
      <c r="D587" s="135" t="s">
        <v>3167</v>
      </c>
      <c r="E587" s="61" t="s">
        <v>1924</v>
      </c>
      <c r="F587" s="140" t="s">
        <v>1925</v>
      </c>
      <c r="G587" s="61" t="s">
        <v>3168</v>
      </c>
      <c r="H587" s="61" t="s">
        <v>20</v>
      </c>
      <c r="I587" s="61" t="s">
        <v>806</v>
      </c>
      <c r="J587" s="14">
        <v>19.0</v>
      </c>
      <c r="K587" s="39"/>
    </row>
    <row r="588">
      <c r="A588" s="17" t="s">
        <v>1901</v>
      </c>
      <c r="C588" s="1" t="s">
        <v>2384</v>
      </c>
      <c r="D588" s="135" t="s">
        <v>3169</v>
      </c>
      <c r="E588" s="61"/>
      <c r="F588" s="135" t="s">
        <v>3170</v>
      </c>
      <c r="G588" s="61" t="s">
        <v>3171</v>
      </c>
      <c r="H588" s="61" t="s">
        <v>54</v>
      </c>
      <c r="I588" s="61" t="s">
        <v>806</v>
      </c>
      <c r="J588" s="14">
        <v>20.0</v>
      </c>
      <c r="K588" s="39"/>
    </row>
    <row r="589">
      <c r="A589" s="17" t="s">
        <v>1901</v>
      </c>
      <c r="C589" s="1" t="s">
        <v>2384</v>
      </c>
      <c r="D589" s="135" t="s">
        <v>3172</v>
      </c>
      <c r="E589" s="61" t="s">
        <v>1924</v>
      </c>
      <c r="F589" s="135" t="s">
        <v>3173</v>
      </c>
      <c r="G589" s="61" t="s">
        <v>3174</v>
      </c>
      <c r="H589" s="61" t="s">
        <v>20</v>
      </c>
      <c r="I589" s="61" t="s">
        <v>806</v>
      </c>
      <c r="J589" s="14">
        <v>21.0</v>
      </c>
      <c r="K589" s="39"/>
    </row>
    <row r="590" hidden="1">
      <c r="A590" s="75" t="s">
        <v>799</v>
      </c>
      <c r="B590" s="76" t="str">
        <f>VLOOKUP(A590,Assignment!$AB$3:$AC$24,2,FALSE())</f>
        <v>DONE</v>
      </c>
      <c r="C590" s="76"/>
      <c r="D590" s="76"/>
      <c r="E590" s="76"/>
      <c r="F590" s="76"/>
      <c r="G590" s="76"/>
      <c r="H590" s="76"/>
      <c r="I590" s="76"/>
      <c r="J590" s="76"/>
      <c r="K590" s="76"/>
      <c r="L590" s="76"/>
      <c r="M590" s="76"/>
      <c r="N590" s="76"/>
      <c r="O590" s="76"/>
      <c r="P590" s="76"/>
      <c r="Q590" s="76"/>
      <c r="R590" s="76"/>
      <c r="S590" s="76"/>
      <c r="T590" s="76"/>
      <c r="U590" s="76"/>
      <c r="V590" s="76"/>
      <c r="W590" s="76"/>
      <c r="X590" s="76"/>
      <c r="Y590" s="76"/>
      <c r="Z590" s="76"/>
      <c r="AA590" s="76"/>
      <c r="AB590" s="76"/>
      <c r="AC590" s="76"/>
      <c r="AD590" s="76"/>
      <c r="AE590" s="76"/>
    </row>
    <row r="591" hidden="1">
      <c r="A591" s="75" t="s">
        <v>722</v>
      </c>
      <c r="B591" s="76" t="str">
        <f>VLOOKUP(A591,Assignment!$AB$3:$AC$24,2,FALSE())</f>
        <v>DONE</v>
      </c>
      <c r="C591" s="76"/>
      <c r="D591" s="76"/>
      <c r="E591" s="76"/>
      <c r="F591" s="76"/>
      <c r="G591" s="76"/>
      <c r="H591" s="76"/>
      <c r="I591" s="76"/>
      <c r="J591" s="76"/>
      <c r="K591" s="76"/>
      <c r="L591" s="76"/>
      <c r="M591" s="76"/>
      <c r="N591" s="76"/>
      <c r="O591" s="76"/>
      <c r="P591" s="76"/>
      <c r="Q591" s="76"/>
      <c r="R591" s="76"/>
      <c r="S591" s="76"/>
      <c r="T591" s="76"/>
      <c r="U591" s="76"/>
      <c r="V591" s="76"/>
      <c r="W591" s="76"/>
      <c r="X591" s="76"/>
      <c r="Y591" s="76"/>
      <c r="Z591" s="76"/>
      <c r="AA591" s="76"/>
      <c r="AB591" s="76"/>
      <c r="AC591" s="76"/>
      <c r="AD591" s="76"/>
      <c r="AE591" s="76"/>
    </row>
    <row r="592">
      <c r="A592" s="17" t="s">
        <v>1901</v>
      </c>
      <c r="C592" s="1" t="s">
        <v>2384</v>
      </c>
      <c r="D592" s="135" t="s">
        <v>3175</v>
      </c>
      <c r="E592" s="61"/>
      <c r="F592" s="135" t="s">
        <v>3176</v>
      </c>
      <c r="G592" s="61" t="s">
        <v>309</v>
      </c>
      <c r="H592" s="61" t="s">
        <v>39</v>
      </c>
      <c r="I592" s="61" t="s">
        <v>806</v>
      </c>
      <c r="J592" s="14">
        <v>22.0</v>
      </c>
      <c r="K592" s="39"/>
    </row>
    <row r="593">
      <c r="A593" s="17" t="s">
        <v>1901</v>
      </c>
      <c r="C593" s="1" t="s">
        <v>2384</v>
      </c>
      <c r="D593" s="135" t="s">
        <v>3177</v>
      </c>
      <c r="E593" s="61"/>
      <c r="F593" s="135" t="s">
        <v>3178</v>
      </c>
      <c r="G593" s="61" t="s">
        <v>309</v>
      </c>
      <c r="H593" s="61" t="s">
        <v>39</v>
      </c>
      <c r="I593" s="61" t="s">
        <v>806</v>
      </c>
      <c r="J593" s="14">
        <v>23.0</v>
      </c>
      <c r="K593" s="39"/>
    </row>
    <row r="594">
      <c r="A594" s="17" t="s">
        <v>1901</v>
      </c>
      <c r="C594" s="1" t="s">
        <v>2384</v>
      </c>
      <c r="D594" s="135" t="s">
        <v>3179</v>
      </c>
      <c r="E594" s="61"/>
      <c r="F594" s="135" t="s">
        <v>1932</v>
      </c>
      <c r="G594" s="61" t="s">
        <v>585</v>
      </c>
      <c r="H594" s="61"/>
      <c r="I594" s="61" t="s">
        <v>806</v>
      </c>
      <c r="J594" s="14">
        <v>24.0</v>
      </c>
      <c r="K594" s="39"/>
    </row>
    <row r="595">
      <c r="A595" s="17" t="s">
        <v>1901</v>
      </c>
      <c r="C595" s="1" t="s">
        <v>2384</v>
      </c>
      <c r="D595" s="135" t="s">
        <v>3180</v>
      </c>
      <c r="E595" s="61"/>
      <c r="F595" s="135" t="s">
        <v>3181</v>
      </c>
      <c r="G595" s="61" t="s">
        <v>3182</v>
      </c>
      <c r="H595" s="61" t="s">
        <v>39</v>
      </c>
      <c r="I595" s="61" t="s">
        <v>806</v>
      </c>
      <c r="J595" s="14">
        <v>25.0</v>
      </c>
      <c r="K595" s="39"/>
    </row>
    <row r="596">
      <c r="A596" s="17" t="s">
        <v>1901</v>
      </c>
      <c r="C596" s="1" t="s">
        <v>2384</v>
      </c>
      <c r="D596" s="135" t="s">
        <v>3183</v>
      </c>
      <c r="E596" s="61"/>
      <c r="F596" s="135" t="s">
        <v>3184</v>
      </c>
      <c r="G596" s="61" t="s">
        <v>1946</v>
      </c>
      <c r="H596" s="61" t="s">
        <v>39</v>
      </c>
      <c r="I596" s="61" t="s">
        <v>806</v>
      </c>
      <c r="J596" s="14">
        <v>26.0</v>
      </c>
      <c r="K596" s="39"/>
    </row>
    <row r="597">
      <c r="A597" s="17" t="s">
        <v>1901</v>
      </c>
      <c r="C597" s="1" t="s">
        <v>2384</v>
      </c>
      <c r="D597" s="135" t="s">
        <v>3185</v>
      </c>
      <c r="E597" s="61"/>
      <c r="F597" s="135" t="s">
        <v>1952</v>
      </c>
      <c r="G597" s="61" t="s">
        <v>3186</v>
      </c>
      <c r="H597" s="61" t="s">
        <v>39</v>
      </c>
      <c r="I597" s="61" t="s">
        <v>806</v>
      </c>
      <c r="J597" s="14">
        <v>27.0</v>
      </c>
      <c r="K597" s="39"/>
    </row>
    <row r="598" hidden="1">
      <c r="A598" s="75" t="s">
        <v>2201</v>
      </c>
      <c r="B598" s="76" t="str">
        <f>VLOOKUP(A598,Assignment!$AB$3:$AC$24,2,FALSE())</f>
        <v>DONE</v>
      </c>
      <c r="C598" s="76"/>
      <c r="D598" s="76"/>
      <c r="E598" s="76"/>
      <c r="F598" s="76"/>
      <c r="G598" s="76"/>
      <c r="H598" s="76"/>
      <c r="I598" s="76"/>
      <c r="J598" s="76"/>
      <c r="K598" s="76"/>
      <c r="L598" s="76"/>
      <c r="M598" s="76"/>
      <c r="N598" s="76"/>
      <c r="O598" s="76"/>
      <c r="P598" s="76"/>
      <c r="Q598" s="76"/>
      <c r="R598" s="76"/>
      <c r="S598" s="76"/>
      <c r="T598" s="76"/>
      <c r="U598" s="76"/>
      <c r="V598" s="76"/>
      <c r="W598" s="76"/>
      <c r="X598" s="76"/>
      <c r="Y598" s="76"/>
      <c r="Z598" s="76"/>
      <c r="AA598" s="76"/>
      <c r="AB598" s="76"/>
      <c r="AC598" s="76"/>
      <c r="AD598" s="76"/>
      <c r="AE598" s="76"/>
    </row>
    <row r="599" hidden="1">
      <c r="A599" s="75" t="s">
        <v>542</v>
      </c>
      <c r="B599" s="76" t="str">
        <f>VLOOKUP(A599,Assignment!$AB$3:$AC$24,2,FALSE())</f>
        <v>DONE</v>
      </c>
      <c r="C599" s="76"/>
      <c r="D599" s="76"/>
      <c r="E599" s="76"/>
      <c r="F599" s="76"/>
      <c r="G599" s="76"/>
      <c r="H599" s="76"/>
      <c r="I599" s="76"/>
      <c r="J599" s="76"/>
      <c r="K599" s="76"/>
      <c r="L599" s="76"/>
      <c r="M599" s="76"/>
      <c r="N599" s="76"/>
      <c r="O599" s="76"/>
      <c r="P599" s="76"/>
      <c r="Q599" s="76"/>
      <c r="R599" s="76"/>
      <c r="S599" s="76"/>
      <c r="T599" s="76"/>
      <c r="U599" s="76"/>
      <c r="V599" s="76"/>
      <c r="W599" s="76"/>
      <c r="X599" s="76"/>
      <c r="Y599" s="76"/>
      <c r="Z599" s="76"/>
      <c r="AA599" s="76"/>
      <c r="AB599" s="76"/>
      <c r="AC599" s="76"/>
      <c r="AD599" s="76"/>
      <c r="AE599" s="76"/>
    </row>
    <row r="600">
      <c r="A600" s="17" t="s">
        <v>1901</v>
      </c>
      <c r="C600" s="1" t="s">
        <v>2384</v>
      </c>
      <c r="D600" s="135" t="s">
        <v>1954</v>
      </c>
      <c r="E600" s="61"/>
      <c r="F600" s="135" t="s">
        <v>1955</v>
      </c>
      <c r="G600" s="61" t="s">
        <v>1956</v>
      </c>
      <c r="H600" s="61" t="s">
        <v>39</v>
      </c>
      <c r="I600" s="61" t="s">
        <v>806</v>
      </c>
      <c r="J600" s="14">
        <v>28.0</v>
      </c>
      <c r="K600" s="39"/>
    </row>
    <row r="601">
      <c r="A601" s="17" t="s">
        <v>1901</v>
      </c>
      <c r="C601" s="1" t="s">
        <v>2384</v>
      </c>
      <c r="D601" s="135" t="s">
        <v>1954</v>
      </c>
      <c r="E601" s="61"/>
      <c r="F601" s="135" t="s">
        <v>3187</v>
      </c>
      <c r="G601" s="61" t="s">
        <v>1956</v>
      </c>
      <c r="H601" s="61" t="s">
        <v>39</v>
      </c>
      <c r="I601" s="61" t="s">
        <v>806</v>
      </c>
      <c r="J601" s="14">
        <v>29.0</v>
      </c>
      <c r="K601" s="39"/>
    </row>
    <row r="602">
      <c r="A602" s="69"/>
      <c r="B602" s="67"/>
      <c r="C602" s="67"/>
      <c r="D602" s="96"/>
      <c r="E602" s="67"/>
      <c r="F602" s="96"/>
      <c r="G602" s="67"/>
      <c r="H602" s="67"/>
      <c r="I602" s="67"/>
      <c r="J602" s="67"/>
      <c r="K602" s="67"/>
      <c r="L602" s="67"/>
      <c r="M602" s="67"/>
      <c r="N602" s="67"/>
      <c r="O602" s="67"/>
      <c r="P602" s="67"/>
      <c r="Q602" s="67"/>
      <c r="R602" s="67"/>
      <c r="S602" s="67"/>
      <c r="T602" s="67"/>
      <c r="U602" s="67"/>
      <c r="V602" s="67"/>
      <c r="W602" s="67"/>
      <c r="X602" s="67"/>
      <c r="Y602" s="67"/>
      <c r="Z602" s="67"/>
      <c r="AA602" s="67"/>
      <c r="AB602" s="67"/>
      <c r="AC602" s="67"/>
      <c r="AD602" s="67"/>
      <c r="AE602" s="67"/>
    </row>
    <row r="603">
      <c r="A603" s="17" t="s">
        <v>1959</v>
      </c>
      <c r="C603" s="1" t="s">
        <v>2346</v>
      </c>
      <c r="D603" s="16" t="s">
        <v>3188</v>
      </c>
      <c r="E603" s="14" t="s">
        <v>1961</v>
      </c>
      <c r="F603" s="16" t="s">
        <v>1962</v>
      </c>
      <c r="G603" s="14" t="s">
        <v>3189</v>
      </c>
      <c r="H603" s="14" t="s">
        <v>54</v>
      </c>
      <c r="I603" s="14" t="s">
        <v>1475</v>
      </c>
      <c r="J603" s="14">
        <v>1.0</v>
      </c>
      <c r="K603" s="39"/>
      <c r="L603" s="1">
        <v>1.0</v>
      </c>
      <c r="M603" s="1" t="s">
        <v>1960</v>
      </c>
      <c r="N603" s="1" t="s">
        <v>1961</v>
      </c>
      <c r="O603" s="1" t="s">
        <v>1962</v>
      </c>
      <c r="P603" s="1" t="s">
        <v>1963</v>
      </c>
      <c r="Q603" s="1" t="s">
        <v>54</v>
      </c>
      <c r="R603" s="1" t="s">
        <v>1475</v>
      </c>
    </row>
    <row r="604">
      <c r="A604" s="17" t="s">
        <v>1959</v>
      </c>
      <c r="C604" s="1" t="s">
        <v>2346</v>
      </c>
      <c r="D604" s="16" t="s">
        <v>3190</v>
      </c>
      <c r="E604" s="14" t="s">
        <v>1961</v>
      </c>
      <c r="F604" s="16" t="s">
        <v>1965</v>
      </c>
      <c r="G604" s="14" t="s">
        <v>3189</v>
      </c>
      <c r="H604" s="14" t="s">
        <v>54</v>
      </c>
      <c r="I604" s="14" t="s">
        <v>1475</v>
      </c>
      <c r="J604" s="14">
        <v>2.0</v>
      </c>
      <c r="K604" s="39"/>
      <c r="L604" s="1" t="s">
        <v>266</v>
      </c>
      <c r="M604" s="1" t="s">
        <v>1964</v>
      </c>
      <c r="N604" s="1" t="s">
        <v>1961</v>
      </c>
      <c r="O604" s="1" t="s">
        <v>1965</v>
      </c>
      <c r="P604" s="1" t="s">
        <v>1963</v>
      </c>
      <c r="Q604" s="1" t="s">
        <v>54</v>
      </c>
      <c r="R604" s="1" t="s">
        <v>1475</v>
      </c>
    </row>
    <row r="605" hidden="1">
      <c r="A605" s="75" t="s">
        <v>318</v>
      </c>
      <c r="B605" s="76" t="str">
        <f>VLOOKUP(A605,Assignment!$AB$3:$AC$24,2,FALSE())</f>
        <v>DONE</v>
      </c>
      <c r="C605" s="76"/>
      <c r="D605" s="76"/>
      <c r="E605" s="76"/>
      <c r="F605" s="76"/>
      <c r="G605" s="76"/>
      <c r="H605" s="76"/>
      <c r="I605" s="76"/>
      <c r="J605" s="76"/>
      <c r="K605" s="76"/>
      <c r="L605" s="76"/>
      <c r="M605" s="76"/>
      <c r="N605" s="76"/>
      <c r="O605" s="76"/>
      <c r="P605" s="76"/>
      <c r="Q605" s="76"/>
      <c r="R605" s="76"/>
      <c r="S605" s="76"/>
      <c r="T605" s="76"/>
      <c r="U605" s="76"/>
      <c r="V605" s="76"/>
      <c r="W605" s="76"/>
      <c r="X605" s="76"/>
      <c r="Y605" s="76"/>
      <c r="Z605" s="76"/>
      <c r="AA605" s="76"/>
      <c r="AB605" s="76"/>
      <c r="AC605" s="76"/>
      <c r="AD605" s="76"/>
      <c r="AE605" s="76"/>
    </row>
    <row r="606" hidden="1">
      <c r="A606" s="75" t="s">
        <v>284</v>
      </c>
      <c r="B606" s="76" t="str">
        <f>VLOOKUP(A606,Assignment!$AB$3:$AC$24,2,FALSE())</f>
        <v>DONE</v>
      </c>
      <c r="C606" s="76"/>
      <c r="D606" s="76"/>
      <c r="E606" s="76"/>
      <c r="F606" s="76"/>
      <c r="G606" s="76"/>
      <c r="H606" s="76"/>
      <c r="I606" s="76"/>
      <c r="J606" s="76"/>
      <c r="K606" s="76"/>
      <c r="L606" s="76"/>
      <c r="M606" s="76"/>
      <c r="N606" s="76"/>
      <c r="O606" s="76"/>
      <c r="P606" s="76"/>
      <c r="Q606" s="76"/>
      <c r="R606" s="76"/>
      <c r="S606" s="76"/>
      <c r="T606" s="76"/>
      <c r="U606" s="76"/>
      <c r="V606" s="76"/>
      <c r="W606" s="76"/>
      <c r="X606" s="76"/>
      <c r="Y606" s="76"/>
      <c r="Z606" s="76"/>
      <c r="AA606" s="76"/>
      <c r="AB606" s="76"/>
      <c r="AC606" s="76"/>
      <c r="AD606" s="76"/>
      <c r="AE606" s="76"/>
    </row>
    <row r="607">
      <c r="A607" s="17" t="s">
        <v>1959</v>
      </c>
      <c r="C607" s="1" t="s">
        <v>2346</v>
      </c>
      <c r="D607" s="16" t="s">
        <v>3191</v>
      </c>
      <c r="E607" s="14" t="s">
        <v>1961</v>
      </c>
      <c r="F607" s="16" t="s">
        <v>1967</v>
      </c>
      <c r="G607" s="14" t="s">
        <v>3189</v>
      </c>
      <c r="H607" s="14" t="s">
        <v>54</v>
      </c>
      <c r="I607" s="14" t="s">
        <v>1475</v>
      </c>
      <c r="J607" s="14">
        <v>3.0</v>
      </c>
      <c r="K607" s="39"/>
      <c r="L607" s="1" t="s">
        <v>493</v>
      </c>
      <c r="M607" s="1" t="s">
        <v>1966</v>
      </c>
      <c r="N607" s="1" t="s">
        <v>1961</v>
      </c>
      <c r="O607" s="1" t="s">
        <v>1967</v>
      </c>
      <c r="P607" s="1" t="s">
        <v>1963</v>
      </c>
      <c r="Q607" s="1" t="s">
        <v>54</v>
      </c>
      <c r="R607" s="1" t="s">
        <v>1475</v>
      </c>
    </row>
    <row r="608">
      <c r="A608" s="17" t="s">
        <v>1959</v>
      </c>
      <c r="C608" s="1" t="s">
        <v>2346</v>
      </c>
      <c r="D608" s="16" t="s">
        <v>1968</v>
      </c>
      <c r="E608" s="14" t="s">
        <v>1961</v>
      </c>
      <c r="F608" s="16" t="s">
        <v>1969</v>
      </c>
      <c r="G608" s="14" t="s">
        <v>3189</v>
      </c>
      <c r="H608" s="14" t="s">
        <v>54</v>
      </c>
      <c r="I608" s="14" t="s">
        <v>1475</v>
      </c>
      <c r="J608" s="14">
        <v>4.0</v>
      </c>
      <c r="K608" s="39"/>
      <c r="L608" s="1" t="s">
        <v>1919</v>
      </c>
      <c r="M608" s="1" t="s">
        <v>1968</v>
      </c>
      <c r="N608" s="1" t="s">
        <v>1961</v>
      </c>
      <c r="O608" s="1" t="s">
        <v>1969</v>
      </c>
      <c r="P608" s="1" t="s">
        <v>1963</v>
      </c>
      <c r="Q608" s="1" t="s">
        <v>54</v>
      </c>
      <c r="R608" s="1" t="s">
        <v>1475</v>
      </c>
    </row>
    <row r="609">
      <c r="A609" s="17" t="s">
        <v>1959</v>
      </c>
      <c r="C609" s="1" t="s">
        <v>2346</v>
      </c>
      <c r="D609" s="16" t="s">
        <v>1995</v>
      </c>
      <c r="E609" s="9"/>
      <c r="F609" s="16" t="s">
        <v>1464</v>
      </c>
      <c r="G609" s="14" t="s">
        <v>1996</v>
      </c>
      <c r="H609" s="14" t="s">
        <v>39</v>
      </c>
      <c r="I609" s="14" t="s">
        <v>1475</v>
      </c>
      <c r="J609" s="14">
        <v>5.0</v>
      </c>
      <c r="K609" s="39"/>
      <c r="L609" s="1">
        <v>11.0</v>
      </c>
      <c r="M609" s="1" t="s">
        <v>1970</v>
      </c>
      <c r="N609" s="1" t="s">
        <v>1971</v>
      </c>
      <c r="O609" s="1" t="s">
        <v>1972</v>
      </c>
      <c r="P609" s="1" t="s">
        <v>1973</v>
      </c>
      <c r="Q609" s="1" t="s">
        <v>20</v>
      </c>
      <c r="R609" s="1" t="s">
        <v>1475</v>
      </c>
    </row>
    <row r="610">
      <c r="A610" s="17" t="s">
        <v>1959</v>
      </c>
      <c r="C610" s="1" t="s">
        <v>2346</v>
      </c>
      <c r="D610" s="16" t="s">
        <v>3192</v>
      </c>
      <c r="E610" s="14" t="s">
        <v>1491</v>
      </c>
      <c r="F610" s="16" t="s">
        <v>2985</v>
      </c>
      <c r="G610" s="14" t="s">
        <v>716</v>
      </c>
      <c r="H610" s="14" t="s">
        <v>39</v>
      </c>
      <c r="I610" s="14" t="s">
        <v>1475</v>
      </c>
      <c r="J610" s="14">
        <v>6.0</v>
      </c>
      <c r="K610" s="39"/>
      <c r="L610" s="1">
        <v>12.0</v>
      </c>
      <c r="M610" s="1" t="s">
        <v>1970</v>
      </c>
      <c r="N610" s="1" t="s">
        <v>1974</v>
      </c>
      <c r="O610" s="1" t="s">
        <v>1975</v>
      </c>
      <c r="P610" s="1" t="s">
        <v>3193</v>
      </c>
      <c r="Q610" s="1" t="s">
        <v>14</v>
      </c>
      <c r="R610" s="1" t="s">
        <v>1475</v>
      </c>
    </row>
    <row r="611">
      <c r="A611" s="17" t="s">
        <v>1959</v>
      </c>
      <c r="C611" s="1" t="s">
        <v>2346</v>
      </c>
      <c r="D611" s="16" t="s">
        <v>3192</v>
      </c>
      <c r="E611" s="14" t="s">
        <v>1491</v>
      </c>
      <c r="F611" s="16" t="s">
        <v>2986</v>
      </c>
      <c r="G611" s="14" t="s">
        <v>716</v>
      </c>
      <c r="H611" s="14" t="s">
        <v>39</v>
      </c>
      <c r="I611" s="14" t="s">
        <v>1475</v>
      </c>
      <c r="J611" s="14">
        <v>7.0</v>
      </c>
      <c r="K611" s="39"/>
      <c r="L611" s="1">
        <v>13.0</v>
      </c>
      <c r="M611" s="1" t="s">
        <v>1970</v>
      </c>
      <c r="N611" s="1" t="s">
        <v>1977</v>
      </c>
      <c r="O611" s="1" t="s">
        <v>1978</v>
      </c>
      <c r="P611" s="1" t="s">
        <v>1979</v>
      </c>
      <c r="Q611" s="1" t="s">
        <v>14</v>
      </c>
      <c r="R611" s="1" t="s">
        <v>1475</v>
      </c>
    </row>
    <row r="612">
      <c r="A612" s="17" t="s">
        <v>1959</v>
      </c>
      <c r="C612" s="1" t="s">
        <v>2346</v>
      </c>
      <c r="D612" s="16" t="s">
        <v>3192</v>
      </c>
      <c r="E612" s="14" t="s">
        <v>1491</v>
      </c>
      <c r="F612" s="16" t="s">
        <v>2987</v>
      </c>
      <c r="G612" s="14" t="s">
        <v>716</v>
      </c>
      <c r="H612" s="14" t="s">
        <v>39</v>
      </c>
      <c r="I612" s="14" t="s">
        <v>1475</v>
      </c>
      <c r="J612" s="14">
        <v>8.0</v>
      </c>
      <c r="K612" s="39"/>
      <c r="L612" s="1">
        <v>14.0</v>
      </c>
      <c r="M612" s="1" t="s">
        <v>1980</v>
      </c>
      <c r="N612" s="1" t="s">
        <v>1971</v>
      </c>
      <c r="O612" s="1" t="s">
        <v>1981</v>
      </c>
      <c r="P612" s="1" t="s">
        <v>1982</v>
      </c>
      <c r="Q612" s="1" t="s">
        <v>20</v>
      </c>
      <c r="R612" s="1" t="s">
        <v>1475</v>
      </c>
    </row>
    <row r="613">
      <c r="A613" s="17" t="s">
        <v>1959</v>
      </c>
      <c r="C613" s="1" t="s">
        <v>2384</v>
      </c>
      <c r="D613" s="16" t="s">
        <v>3194</v>
      </c>
      <c r="E613" s="14" t="s">
        <v>1971</v>
      </c>
      <c r="F613" s="16" t="s">
        <v>3195</v>
      </c>
      <c r="G613" s="14" t="s">
        <v>3196</v>
      </c>
      <c r="H613" s="14" t="s">
        <v>2388</v>
      </c>
      <c r="I613" s="14" t="s">
        <v>3197</v>
      </c>
      <c r="J613" s="14">
        <v>9.0</v>
      </c>
      <c r="K613" s="39"/>
      <c r="L613" s="1">
        <v>15.0</v>
      </c>
      <c r="M613" s="1" t="s">
        <v>1970</v>
      </c>
      <c r="N613" s="1" t="s">
        <v>1961</v>
      </c>
      <c r="O613" s="1" t="s">
        <v>1983</v>
      </c>
      <c r="P613" s="1" t="s">
        <v>3198</v>
      </c>
      <c r="Q613" s="1" t="s">
        <v>106</v>
      </c>
      <c r="R613" s="1" t="s">
        <v>1475</v>
      </c>
    </row>
    <row r="614">
      <c r="A614" s="17" t="s">
        <v>1959</v>
      </c>
      <c r="C614" s="1" t="s">
        <v>2384</v>
      </c>
      <c r="D614" s="16" t="s">
        <v>3199</v>
      </c>
      <c r="E614" s="14" t="s">
        <v>1971</v>
      </c>
      <c r="F614" s="16" t="s">
        <v>3200</v>
      </c>
      <c r="G614" s="14" t="s">
        <v>3201</v>
      </c>
      <c r="H614" s="14" t="s">
        <v>2388</v>
      </c>
      <c r="I614" s="14" t="s">
        <v>3197</v>
      </c>
      <c r="J614" s="14">
        <v>10.0</v>
      </c>
      <c r="K614" s="39"/>
      <c r="L614" s="1">
        <v>17.0</v>
      </c>
      <c r="M614" s="1" t="s">
        <v>1985</v>
      </c>
      <c r="N614" s="1" t="s">
        <v>503</v>
      </c>
      <c r="O614" s="1" t="s">
        <v>1986</v>
      </c>
      <c r="P614" s="1" t="s">
        <v>1987</v>
      </c>
      <c r="Q614" s="1" t="s">
        <v>39</v>
      </c>
      <c r="R614" s="1" t="s">
        <v>1475</v>
      </c>
    </row>
    <row r="615">
      <c r="A615" s="17" t="s">
        <v>1959</v>
      </c>
      <c r="C615" s="1" t="s">
        <v>2384</v>
      </c>
      <c r="D615" s="16" t="s">
        <v>3199</v>
      </c>
      <c r="E615" s="14" t="s">
        <v>1971</v>
      </c>
      <c r="F615" s="16" t="s">
        <v>1972</v>
      </c>
      <c r="G615" s="14" t="s">
        <v>1973</v>
      </c>
      <c r="H615" s="14" t="s">
        <v>20</v>
      </c>
      <c r="I615" s="14" t="s">
        <v>3197</v>
      </c>
      <c r="J615" s="14">
        <v>11.0</v>
      </c>
      <c r="K615" s="39"/>
      <c r="L615" s="1">
        <v>18.0</v>
      </c>
      <c r="M615" s="1" t="s">
        <v>1985</v>
      </c>
      <c r="O615" s="1" t="s">
        <v>1988</v>
      </c>
      <c r="P615" s="1" t="s">
        <v>1989</v>
      </c>
      <c r="Q615" s="1" t="s">
        <v>39</v>
      </c>
      <c r="R615" s="1" t="s">
        <v>1475</v>
      </c>
    </row>
    <row r="616">
      <c r="A616" s="17" t="s">
        <v>1959</v>
      </c>
      <c r="C616" s="1" t="s">
        <v>2384</v>
      </c>
      <c r="D616" s="16" t="s">
        <v>3199</v>
      </c>
      <c r="E616" s="14" t="s">
        <v>1974</v>
      </c>
      <c r="F616" s="16" t="s">
        <v>1975</v>
      </c>
      <c r="G616" s="14" t="s">
        <v>3193</v>
      </c>
      <c r="H616" s="14" t="s">
        <v>14</v>
      </c>
      <c r="I616" s="14" t="s">
        <v>3197</v>
      </c>
      <c r="J616" s="14">
        <v>12.0</v>
      </c>
      <c r="K616" s="39"/>
      <c r="L616" s="1" t="s">
        <v>1990</v>
      </c>
      <c r="M616" s="1" t="s">
        <v>1991</v>
      </c>
      <c r="N616" s="1" t="s">
        <v>1992</v>
      </c>
      <c r="O616" s="1" t="s">
        <v>1993</v>
      </c>
      <c r="P616" s="1" t="s">
        <v>309</v>
      </c>
      <c r="Q616" s="1" t="s">
        <v>39</v>
      </c>
      <c r="R616" s="1" t="s">
        <v>1475</v>
      </c>
    </row>
    <row r="617" hidden="1">
      <c r="A617" s="75" t="s">
        <v>424</v>
      </c>
      <c r="B617" s="76" t="str">
        <f>VLOOKUP(A617,Assignment!$AB$3:$AC$24,2,FALSE())</f>
        <v>DONE</v>
      </c>
      <c r="C617" s="76"/>
      <c r="D617" s="76"/>
      <c r="E617" s="76"/>
      <c r="F617" s="76"/>
      <c r="G617" s="76"/>
      <c r="H617" s="76"/>
      <c r="I617" s="76"/>
      <c r="J617" s="76"/>
      <c r="K617" s="76"/>
      <c r="L617" s="76"/>
      <c r="M617" s="76"/>
      <c r="N617" s="76"/>
      <c r="O617" s="76"/>
      <c r="P617" s="76"/>
      <c r="Q617" s="76"/>
      <c r="R617" s="76"/>
      <c r="S617" s="76"/>
      <c r="T617" s="76"/>
      <c r="U617" s="76"/>
      <c r="V617" s="76"/>
      <c r="W617" s="76"/>
      <c r="X617" s="76"/>
      <c r="Y617" s="76"/>
      <c r="Z617" s="76"/>
      <c r="AA617" s="76"/>
      <c r="AB617" s="76"/>
      <c r="AC617" s="76"/>
      <c r="AD617" s="76"/>
      <c r="AE617" s="76"/>
    </row>
    <row r="618" hidden="1">
      <c r="A618" s="75" t="s">
        <v>448</v>
      </c>
      <c r="B618" s="76" t="str">
        <f>VLOOKUP(A618,Assignment!$AB$3:$AC$24,2,FALSE())</f>
        <v>DONE</v>
      </c>
      <c r="C618" s="76"/>
      <c r="D618" s="76"/>
      <c r="E618" s="76"/>
      <c r="F618" s="76"/>
      <c r="G618" s="76"/>
      <c r="H618" s="76"/>
      <c r="I618" s="76"/>
      <c r="J618" s="76"/>
      <c r="K618" s="76"/>
      <c r="L618" s="76"/>
      <c r="M618" s="76"/>
      <c r="N618" s="76"/>
      <c r="O618" s="76"/>
      <c r="P618" s="76"/>
      <c r="Q618" s="76"/>
      <c r="R618" s="76"/>
      <c r="S618" s="76"/>
      <c r="T618" s="76"/>
      <c r="U618" s="76"/>
      <c r="V618" s="76"/>
      <c r="W618" s="76"/>
      <c r="X618" s="76"/>
      <c r="Y618" s="76"/>
      <c r="Z618" s="76"/>
      <c r="AA618" s="76"/>
      <c r="AB618" s="76"/>
      <c r="AC618" s="76"/>
      <c r="AD618" s="76"/>
      <c r="AE618" s="76"/>
    </row>
    <row r="619" hidden="1">
      <c r="A619" s="75" t="s">
        <v>64</v>
      </c>
      <c r="B619" s="76" t="str">
        <f>VLOOKUP(A619,Assignment!$AB$3:$AC$24,2,FALSE())</f>
        <v>DONE</v>
      </c>
      <c r="C619" s="76"/>
      <c r="D619" s="76"/>
      <c r="E619" s="76"/>
      <c r="F619" s="76"/>
      <c r="G619" s="76"/>
      <c r="H619" s="76"/>
      <c r="I619" s="76"/>
      <c r="J619" s="76"/>
      <c r="K619" s="76"/>
      <c r="L619" s="76"/>
      <c r="M619" s="76"/>
      <c r="N619" s="76"/>
      <c r="O619" s="76"/>
      <c r="P619" s="76"/>
      <c r="Q619" s="76"/>
      <c r="R619" s="76"/>
      <c r="S619" s="76"/>
      <c r="T619" s="76"/>
      <c r="U619" s="76"/>
      <c r="V619" s="76"/>
      <c r="W619" s="76"/>
      <c r="X619" s="76"/>
      <c r="Y619" s="76"/>
      <c r="Z619" s="76"/>
      <c r="AA619" s="76"/>
      <c r="AB619" s="76"/>
      <c r="AC619" s="76"/>
      <c r="AD619" s="76"/>
      <c r="AE619" s="76"/>
    </row>
    <row r="620" hidden="1">
      <c r="A620" s="75" t="s">
        <v>8</v>
      </c>
      <c r="B620" s="76" t="str">
        <f>VLOOKUP(A620,Assignment!$AB$3:$AC$24,2,FALSE())</f>
        <v>DONE</v>
      </c>
      <c r="C620" s="76"/>
      <c r="D620" s="76"/>
      <c r="E620" s="76"/>
      <c r="F620" s="76"/>
      <c r="G620" s="76"/>
      <c r="H620" s="76"/>
      <c r="I620" s="76"/>
      <c r="J620" s="76"/>
      <c r="K620" s="76"/>
      <c r="L620" s="76"/>
      <c r="M620" s="76"/>
      <c r="N620" s="76"/>
      <c r="O620" s="76"/>
      <c r="P620" s="76"/>
      <c r="Q620" s="76"/>
      <c r="R620" s="76"/>
      <c r="S620" s="76"/>
      <c r="T620" s="76"/>
      <c r="U620" s="76"/>
      <c r="V620" s="76"/>
      <c r="W620" s="76"/>
      <c r="X620" s="76"/>
      <c r="Y620" s="76"/>
      <c r="Z620" s="76"/>
      <c r="AA620" s="76"/>
      <c r="AB620" s="76"/>
      <c r="AC620" s="76"/>
      <c r="AD620" s="76"/>
      <c r="AE620" s="76"/>
    </row>
    <row r="621">
      <c r="A621" s="17" t="s">
        <v>1959</v>
      </c>
      <c r="C621" s="1" t="s">
        <v>2384</v>
      </c>
      <c r="D621" s="16" t="s">
        <v>3199</v>
      </c>
      <c r="E621" s="14" t="s">
        <v>1974</v>
      </c>
      <c r="F621" s="16" t="s">
        <v>3202</v>
      </c>
      <c r="G621" s="14" t="s">
        <v>3203</v>
      </c>
      <c r="H621" s="14" t="s">
        <v>14</v>
      </c>
      <c r="I621" s="14" t="s">
        <v>3197</v>
      </c>
      <c r="J621" s="14">
        <v>13.0</v>
      </c>
      <c r="K621" s="39"/>
      <c r="L621" s="1" t="s">
        <v>1994</v>
      </c>
      <c r="M621" s="1" t="s">
        <v>1995</v>
      </c>
      <c r="N621" s="1" t="s">
        <v>412</v>
      </c>
      <c r="O621" s="1" t="s">
        <v>1464</v>
      </c>
      <c r="P621" s="1" t="s">
        <v>1996</v>
      </c>
      <c r="Q621" s="1" t="s">
        <v>39</v>
      </c>
      <c r="R621" s="1" t="s">
        <v>1475</v>
      </c>
    </row>
    <row r="622">
      <c r="A622" s="17" t="s">
        <v>1959</v>
      </c>
      <c r="C622" s="1" t="s">
        <v>2384</v>
      </c>
      <c r="D622" s="16" t="s">
        <v>3204</v>
      </c>
      <c r="E622" s="14" t="s">
        <v>1971</v>
      </c>
      <c r="F622" s="16" t="s">
        <v>3205</v>
      </c>
      <c r="G622" s="14" t="s">
        <v>3206</v>
      </c>
      <c r="H622" s="14" t="s">
        <v>20</v>
      </c>
      <c r="I622" s="14" t="s">
        <v>3197</v>
      </c>
      <c r="J622" s="14">
        <v>14.0</v>
      </c>
      <c r="K622" s="39"/>
    </row>
    <row r="623">
      <c r="A623" s="17" t="s">
        <v>1959</v>
      </c>
      <c r="C623" s="1" t="s">
        <v>2384</v>
      </c>
      <c r="D623" s="16" t="s">
        <v>3207</v>
      </c>
      <c r="E623" s="14" t="s">
        <v>1974</v>
      </c>
      <c r="F623" s="16" t="s">
        <v>1983</v>
      </c>
      <c r="G623" s="9"/>
      <c r="H623" s="14" t="s">
        <v>106</v>
      </c>
      <c r="I623" s="14" t="s">
        <v>3197</v>
      </c>
      <c r="J623" s="14">
        <v>15.0</v>
      </c>
      <c r="K623" s="39"/>
    </row>
    <row r="624" hidden="1">
      <c r="B624" s="76" t="str">
        <f>VLOOKUP(#REF!,Assignment!$AB$3:$AC$24,2,FALSE())</f>
        <v>#REF!</v>
      </c>
      <c r="C624" s="76"/>
      <c r="D624" s="76"/>
      <c r="E624" s="76"/>
      <c r="F624" s="76"/>
      <c r="G624" s="76"/>
      <c r="H624" s="76"/>
      <c r="I624" s="76"/>
      <c r="J624" s="76"/>
      <c r="K624" s="76"/>
      <c r="L624" s="76"/>
      <c r="M624" s="76"/>
      <c r="N624" s="76"/>
      <c r="O624" s="76"/>
      <c r="P624" s="76"/>
      <c r="Q624" s="76"/>
      <c r="R624" s="76"/>
      <c r="S624" s="76"/>
      <c r="T624" s="76"/>
      <c r="U624" s="76"/>
      <c r="V624" s="76"/>
      <c r="W624" s="76"/>
      <c r="X624" s="76"/>
      <c r="Y624" s="76"/>
      <c r="Z624" s="76"/>
      <c r="AA624" s="76"/>
      <c r="AB624" s="76"/>
      <c r="AC624" s="76"/>
      <c r="AD624" s="76"/>
      <c r="AE624" s="76"/>
    </row>
    <row r="625">
      <c r="A625" s="17" t="s">
        <v>1959</v>
      </c>
      <c r="C625" s="1" t="s">
        <v>2384</v>
      </c>
      <c r="D625" s="16" t="s">
        <v>3208</v>
      </c>
      <c r="E625" s="14" t="s">
        <v>1971</v>
      </c>
      <c r="F625" s="16" t="s">
        <v>3209</v>
      </c>
      <c r="G625" s="14" t="s">
        <v>3210</v>
      </c>
      <c r="H625" s="14" t="s">
        <v>14</v>
      </c>
      <c r="I625" s="14" t="s">
        <v>3197</v>
      </c>
      <c r="J625" s="14">
        <v>16.0</v>
      </c>
      <c r="K625" s="39"/>
    </row>
    <row r="626">
      <c r="A626" s="17" t="s">
        <v>1959</v>
      </c>
      <c r="C626" s="1" t="s">
        <v>2384</v>
      </c>
      <c r="D626" s="16" t="s">
        <v>3208</v>
      </c>
      <c r="E626" s="9"/>
      <c r="F626" s="16" t="s">
        <v>1986</v>
      </c>
      <c r="G626" s="14" t="s">
        <v>1987</v>
      </c>
      <c r="H626" s="14" t="s">
        <v>39</v>
      </c>
      <c r="I626" s="14" t="s">
        <v>3197</v>
      </c>
      <c r="J626" s="14">
        <v>17.0</v>
      </c>
      <c r="K626" s="39"/>
    </row>
    <row r="627" hidden="1">
      <c r="A627" s="17" t="s">
        <v>2147</v>
      </c>
      <c r="B627" s="76" t="str">
        <f>VLOOKUP(#REF!,Assignment!$AB$3:$AC$24,2,FALSE())</f>
        <v>#REF!</v>
      </c>
      <c r="C627" s="76"/>
      <c r="D627" s="76"/>
      <c r="E627" s="76"/>
      <c r="F627" s="76"/>
      <c r="G627" s="76"/>
      <c r="H627" s="76"/>
      <c r="I627" s="76"/>
      <c r="J627" s="76"/>
      <c r="K627" s="76"/>
      <c r="L627" s="76"/>
      <c r="M627" s="76"/>
      <c r="N627" s="76"/>
      <c r="O627" s="76"/>
      <c r="P627" s="76"/>
      <c r="Q627" s="76"/>
      <c r="R627" s="76"/>
      <c r="S627" s="76"/>
      <c r="T627" s="76"/>
      <c r="U627" s="76"/>
      <c r="V627" s="76"/>
      <c r="W627" s="76"/>
      <c r="X627" s="76"/>
      <c r="Y627" s="76"/>
      <c r="Z627" s="76"/>
      <c r="AA627" s="76"/>
      <c r="AB627" s="76"/>
      <c r="AC627" s="76"/>
      <c r="AD627" s="76"/>
      <c r="AE627" s="76"/>
    </row>
    <row r="628" hidden="1">
      <c r="A628" s="75" t="s">
        <v>2202</v>
      </c>
      <c r="B628" s="76" t="str">
        <f>VLOOKUP(A628,Assignment!$AB$3:$AC$24,2,FALSE())</f>
        <v>DONE</v>
      </c>
      <c r="C628" s="76"/>
      <c r="D628" s="76"/>
      <c r="E628" s="76"/>
      <c r="F628" s="76"/>
      <c r="G628" s="76"/>
      <c r="H628" s="76"/>
      <c r="I628" s="76"/>
      <c r="J628" s="76"/>
      <c r="K628" s="76"/>
      <c r="L628" s="76"/>
      <c r="M628" s="76"/>
      <c r="N628" s="76"/>
      <c r="O628" s="76"/>
      <c r="P628" s="76"/>
      <c r="Q628" s="76"/>
      <c r="R628" s="76"/>
      <c r="S628" s="76"/>
      <c r="T628" s="76"/>
      <c r="U628" s="76"/>
      <c r="V628" s="76"/>
      <c r="W628" s="76"/>
      <c r="X628" s="76"/>
      <c r="Y628" s="76"/>
      <c r="Z628" s="76"/>
      <c r="AA628" s="76"/>
      <c r="AB628" s="76"/>
      <c r="AC628" s="76"/>
      <c r="AD628" s="76"/>
      <c r="AE628" s="76"/>
    </row>
    <row r="629" hidden="1">
      <c r="A629" s="75" t="s">
        <v>189</v>
      </c>
      <c r="B629" s="76" t="str">
        <f>VLOOKUP(A629,Assignment!$AB$3:$AC$24,2,FALSE())</f>
        <v>DONE</v>
      </c>
      <c r="C629" s="76"/>
      <c r="D629" s="76"/>
      <c r="E629" s="76"/>
      <c r="F629" s="76"/>
      <c r="G629" s="76"/>
      <c r="H629" s="76"/>
      <c r="I629" s="76"/>
      <c r="J629" s="76"/>
      <c r="K629" s="76"/>
      <c r="L629" s="76"/>
      <c r="M629" s="76"/>
      <c r="N629" s="76"/>
      <c r="O629" s="76"/>
      <c r="P629" s="76"/>
      <c r="Q629" s="76"/>
      <c r="R629" s="76"/>
      <c r="S629" s="76"/>
      <c r="T629" s="76"/>
      <c r="U629" s="76"/>
      <c r="V629" s="76"/>
      <c r="W629" s="76"/>
      <c r="X629" s="76"/>
      <c r="Y629" s="76"/>
      <c r="Z629" s="76"/>
      <c r="AA629" s="76"/>
      <c r="AB629" s="76"/>
      <c r="AC629" s="76"/>
      <c r="AD629" s="76"/>
      <c r="AE629" s="76"/>
    </row>
    <row r="630">
      <c r="A630" s="17" t="s">
        <v>1959</v>
      </c>
      <c r="C630" s="1" t="s">
        <v>2384</v>
      </c>
      <c r="D630" s="15" t="s">
        <v>3208</v>
      </c>
      <c r="F630" s="15" t="s">
        <v>933</v>
      </c>
      <c r="G630" s="1" t="s">
        <v>3211</v>
      </c>
      <c r="H630" s="1" t="s">
        <v>39</v>
      </c>
      <c r="I630" s="1" t="s">
        <v>3197</v>
      </c>
      <c r="J630" s="1">
        <v>18.0</v>
      </c>
      <c r="K630" s="39"/>
    </row>
    <row r="631">
      <c r="A631" s="17" t="s">
        <v>1959</v>
      </c>
      <c r="C631" s="1" t="s">
        <v>2384</v>
      </c>
      <c r="D631" s="16" t="s">
        <v>3212</v>
      </c>
      <c r="E631" s="9"/>
      <c r="F631" s="16" t="s">
        <v>1993</v>
      </c>
      <c r="G631" s="14" t="s">
        <v>3213</v>
      </c>
      <c r="H631" s="14" t="s">
        <v>39</v>
      </c>
      <c r="I631" s="14" t="s">
        <v>3197</v>
      </c>
      <c r="J631" s="14">
        <v>19.0</v>
      </c>
      <c r="K631" s="39"/>
    </row>
    <row r="632">
      <c r="A632" s="17" t="s">
        <v>1959</v>
      </c>
      <c r="C632" s="1" t="s">
        <v>2384</v>
      </c>
      <c r="D632" s="16" t="s">
        <v>3214</v>
      </c>
      <c r="E632" s="9"/>
      <c r="F632" s="16" t="s">
        <v>3215</v>
      </c>
      <c r="G632" s="14" t="s">
        <v>3216</v>
      </c>
      <c r="H632" s="14" t="s">
        <v>39</v>
      </c>
      <c r="I632" s="14" t="s">
        <v>3197</v>
      </c>
      <c r="J632" s="14">
        <v>20.0</v>
      </c>
      <c r="K632" s="39"/>
    </row>
    <row r="633">
      <c r="A633" s="69"/>
      <c r="C633" s="69"/>
      <c r="D633" s="96"/>
      <c r="E633" s="67"/>
      <c r="F633" s="96"/>
      <c r="G633" s="67"/>
      <c r="H633" s="67"/>
      <c r="I633" s="67"/>
      <c r="J633" s="67"/>
      <c r="K633" s="67"/>
      <c r="L633" s="67"/>
      <c r="M633" s="67"/>
      <c r="N633" s="67"/>
      <c r="O633" s="67"/>
      <c r="P633" s="67"/>
      <c r="Q633" s="67"/>
      <c r="R633" s="67"/>
      <c r="S633" s="67"/>
      <c r="T633" s="67"/>
      <c r="U633" s="67"/>
      <c r="V633" s="67"/>
      <c r="W633" s="67"/>
      <c r="X633" s="67"/>
      <c r="Y633" s="67"/>
      <c r="Z633" s="67"/>
      <c r="AA633" s="67"/>
      <c r="AB633" s="67"/>
      <c r="AC633" s="67"/>
      <c r="AD633" s="67"/>
      <c r="AE633" s="67"/>
    </row>
    <row r="634">
      <c r="A634" s="141" t="s">
        <v>1997</v>
      </c>
      <c r="C634" s="1" t="s">
        <v>2346</v>
      </c>
      <c r="D634" s="15" t="s">
        <v>1998</v>
      </c>
      <c r="E634" s="1" t="s">
        <v>1999</v>
      </c>
      <c r="F634" s="15" t="s">
        <v>2000</v>
      </c>
      <c r="G634" s="1" t="s">
        <v>2001</v>
      </c>
      <c r="H634" s="1" t="s">
        <v>54</v>
      </c>
      <c r="I634" s="1" t="s">
        <v>2002</v>
      </c>
      <c r="J634" s="1">
        <v>1.0</v>
      </c>
      <c r="K634" s="39"/>
      <c r="L634" s="1">
        <v>1.0</v>
      </c>
      <c r="M634" s="1" t="s">
        <v>1998</v>
      </c>
      <c r="N634" s="1" t="s">
        <v>1999</v>
      </c>
      <c r="O634" s="1" t="s">
        <v>2000</v>
      </c>
      <c r="P634" s="1" t="s">
        <v>2001</v>
      </c>
      <c r="Q634" s="1" t="s">
        <v>54</v>
      </c>
      <c r="R634" s="1" t="s">
        <v>2002</v>
      </c>
    </row>
    <row r="635">
      <c r="A635" s="141" t="s">
        <v>1997</v>
      </c>
      <c r="C635" s="1" t="s">
        <v>2346</v>
      </c>
      <c r="D635" s="15" t="s">
        <v>2003</v>
      </c>
      <c r="E635" s="1" t="s">
        <v>2004</v>
      </c>
      <c r="F635" s="15" t="s">
        <v>2005</v>
      </c>
      <c r="G635" s="1" t="s">
        <v>2006</v>
      </c>
      <c r="H635" s="1" t="s">
        <v>54</v>
      </c>
      <c r="I635" s="1" t="s">
        <v>2002</v>
      </c>
      <c r="J635" s="1">
        <v>2.0</v>
      </c>
      <c r="K635" s="39"/>
      <c r="L635" s="1">
        <v>2.0</v>
      </c>
      <c r="M635" s="1" t="s">
        <v>2003</v>
      </c>
      <c r="N635" s="1" t="s">
        <v>2004</v>
      </c>
      <c r="O635" s="1" t="s">
        <v>2005</v>
      </c>
      <c r="P635" s="1" t="s">
        <v>2006</v>
      </c>
      <c r="Q635" s="1" t="s">
        <v>54</v>
      </c>
      <c r="R635" s="1" t="s">
        <v>2002</v>
      </c>
    </row>
    <row r="636">
      <c r="A636" s="141" t="s">
        <v>1997</v>
      </c>
      <c r="C636" s="1" t="s">
        <v>2346</v>
      </c>
      <c r="D636" s="15" t="s">
        <v>2007</v>
      </c>
      <c r="E636" s="1" t="s">
        <v>2008</v>
      </c>
      <c r="F636" s="15" t="s">
        <v>2009</v>
      </c>
      <c r="G636" s="1" t="s">
        <v>2010</v>
      </c>
      <c r="H636" s="1" t="s">
        <v>54</v>
      </c>
      <c r="I636" s="1" t="s">
        <v>2002</v>
      </c>
      <c r="J636" s="1">
        <v>3.0</v>
      </c>
      <c r="K636" s="39"/>
      <c r="L636" s="1">
        <v>3.0</v>
      </c>
      <c r="M636" s="1" t="s">
        <v>2007</v>
      </c>
      <c r="N636" s="1" t="s">
        <v>2008</v>
      </c>
      <c r="O636" s="1" t="s">
        <v>2009</v>
      </c>
      <c r="P636" s="1" t="s">
        <v>2010</v>
      </c>
      <c r="Q636" s="1" t="s">
        <v>54</v>
      </c>
      <c r="R636" s="1" t="s">
        <v>2002</v>
      </c>
    </row>
    <row r="637">
      <c r="A637" s="141" t="s">
        <v>1997</v>
      </c>
      <c r="C637" s="1" t="s">
        <v>2346</v>
      </c>
      <c r="D637" s="15" t="s">
        <v>2011</v>
      </c>
      <c r="F637" s="15" t="s">
        <v>3217</v>
      </c>
      <c r="G637" s="1" t="s">
        <v>2013</v>
      </c>
      <c r="H637" s="1" t="s">
        <v>44</v>
      </c>
      <c r="I637" s="1" t="s">
        <v>2002</v>
      </c>
      <c r="J637" s="1">
        <v>4.0</v>
      </c>
      <c r="K637" s="39"/>
      <c r="L637" s="1">
        <v>4.0</v>
      </c>
      <c r="M637" s="1" t="s">
        <v>2011</v>
      </c>
      <c r="O637" s="1" t="s">
        <v>2012</v>
      </c>
      <c r="P637" s="1" t="s">
        <v>2013</v>
      </c>
      <c r="Q637" s="1" t="s">
        <v>44</v>
      </c>
      <c r="R637" s="1" t="s">
        <v>2002</v>
      </c>
    </row>
    <row r="638">
      <c r="A638" s="141" t="s">
        <v>1997</v>
      </c>
      <c r="C638" s="1" t="s">
        <v>2346</v>
      </c>
      <c r="D638" s="15" t="s">
        <v>2011</v>
      </c>
      <c r="E638" s="1" t="s">
        <v>2014</v>
      </c>
      <c r="F638" s="15" t="s">
        <v>2015</v>
      </c>
      <c r="G638" s="1" t="s">
        <v>2016</v>
      </c>
      <c r="H638" s="1" t="s">
        <v>20</v>
      </c>
      <c r="I638" s="1" t="s">
        <v>2002</v>
      </c>
      <c r="J638" s="1">
        <v>5.0</v>
      </c>
      <c r="K638" s="39"/>
      <c r="L638" s="1">
        <v>5.0</v>
      </c>
      <c r="M638" s="1" t="s">
        <v>2011</v>
      </c>
      <c r="N638" s="1" t="s">
        <v>2014</v>
      </c>
      <c r="O638" s="1" t="s">
        <v>2015</v>
      </c>
      <c r="P638" s="1" t="s">
        <v>2016</v>
      </c>
      <c r="Q638" s="1" t="s">
        <v>20</v>
      </c>
      <c r="R638" s="1" t="s">
        <v>2002</v>
      </c>
    </row>
    <row r="639">
      <c r="A639" s="141" t="s">
        <v>1997</v>
      </c>
      <c r="C639" s="1" t="s">
        <v>2346</v>
      </c>
      <c r="D639" s="15" t="s">
        <v>2017</v>
      </c>
      <c r="F639" s="15" t="s">
        <v>2018</v>
      </c>
      <c r="G639" s="1" t="s">
        <v>2019</v>
      </c>
      <c r="H639" s="1" t="s">
        <v>54</v>
      </c>
      <c r="I639" s="1" t="s">
        <v>2002</v>
      </c>
      <c r="J639" s="1">
        <v>6.0</v>
      </c>
      <c r="K639" s="39"/>
      <c r="L639" s="1">
        <v>6.0</v>
      </c>
      <c r="M639" s="1" t="s">
        <v>2017</v>
      </c>
      <c r="N639" s="1" t="s">
        <v>412</v>
      </c>
      <c r="O639" s="1" t="s">
        <v>2018</v>
      </c>
      <c r="P639" s="1" t="s">
        <v>2019</v>
      </c>
      <c r="Q639" s="1" t="s">
        <v>54</v>
      </c>
      <c r="R639" s="1" t="s">
        <v>2002</v>
      </c>
    </row>
    <row r="640">
      <c r="A640" s="141" t="s">
        <v>1997</v>
      </c>
      <c r="C640" s="1" t="s">
        <v>2346</v>
      </c>
      <c r="D640" s="15" t="s">
        <v>2020</v>
      </c>
      <c r="F640" s="15" t="s">
        <v>2978</v>
      </c>
      <c r="G640" s="1" t="s">
        <v>1518</v>
      </c>
      <c r="H640" s="1" t="s">
        <v>39</v>
      </c>
      <c r="I640" s="1" t="s">
        <v>2002</v>
      </c>
      <c r="J640" s="1">
        <v>7.0</v>
      </c>
      <c r="K640" s="39"/>
      <c r="L640" s="1">
        <v>7.0</v>
      </c>
      <c r="M640" s="1" t="s">
        <v>2020</v>
      </c>
      <c r="O640" s="1" t="s">
        <v>2978</v>
      </c>
      <c r="P640" s="1" t="s">
        <v>1518</v>
      </c>
      <c r="Q640" s="1" t="s">
        <v>39</v>
      </c>
      <c r="R640" s="1" t="s">
        <v>2002</v>
      </c>
    </row>
    <row r="641">
      <c r="A641" s="141" t="s">
        <v>1997</v>
      </c>
      <c r="C641" s="1" t="s">
        <v>2346</v>
      </c>
      <c r="D641" s="15" t="s">
        <v>2020</v>
      </c>
      <c r="E641" s="1" t="s">
        <v>1205</v>
      </c>
      <c r="F641" s="15" t="s">
        <v>3218</v>
      </c>
      <c r="G641" s="1" t="s">
        <v>716</v>
      </c>
      <c r="H641" s="1" t="s">
        <v>39</v>
      </c>
      <c r="I641" s="1" t="s">
        <v>2002</v>
      </c>
      <c r="J641" s="1">
        <v>8.0</v>
      </c>
      <c r="K641" s="39"/>
      <c r="L641" s="1">
        <v>8.0</v>
      </c>
      <c r="M641" s="1" t="s">
        <v>2020</v>
      </c>
      <c r="N641" s="1" t="s">
        <v>1205</v>
      </c>
      <c r="O641" s="1" t="s">
        <v>3218</v>
      </c>
      <c r="P641" s="1" t="s">
        <v>716</v>
      </c>
      <c r="Q641" s="1" t="s">
        <v>39</v>
      </c>
      <c r="R641" s="1" t="s">
        <v>2002</v>
      </c>
    </row>
    <row r="642">
      <c r="A642" s="141" t="s">
        <v>1997</v>
      </c>
      <c r="C642" s="1" t="s">
        <v>2346</v>
      </c>
      <c r="D642" s="15" t="s">
        <v>3219</v>
      </c>
      <c r="E642" s="1" t="s">
        <v>1205</v>
      </c>
      <c r="F642" s="15" t="s">
        <v>3220</v>
      </c>
      <c r="G642" s="1" t="s">
        <v>1513</v>
      </c>
      <c r="H642" s="1" t="s">
        <v>39</v>
      </c>
      <c r="I642" s="1" t="s">
        <v>2002</v>
      </c>
      <c r="J642" s="1">
        <v>9.0</v>
      </c>
      <c r="K642" s="39"/>
      <c r="L642" s="1">
        <v>9.0</v>
      </c>
      <c r="M642" s="1" t="s">
        <v>3219</v>
      </c>
      <c r="N642" s="1" t="s">
        <v>1205</v>
      </c>
      <c r="O642" s="1" t="s">
        <v>3220</v>
      </c>
      <c r="P642" s="1" t="s">
        <v>1513</v>
      </c>
      <c r="Q642" s="1" t="s">
        <v>39</v>
      </c>
      <c r="R642" s="1" t="s">
        <v>2002</v>
      </c>
    </row>
    <row r="643">
      <c r="A643" s="69"/>
      <c r="C643" s="69"/>
      <c r="D643" s="96"/>
      <c r="E643" s="67"/>
      <c r="F643" s="96"/>
      <c r="G643" s="67"/>
      <c r="H643" s="67"/>
      <c r="I643" s="67"/>
      <c r="J643" s="67"/>
      <c r="K643" s="67"/>
      <c r="L643" s="67"/>
      <c r="M643" s="67"/>
      <c r="N643" s="67"/>
      <c r="O643" s="67"/>
      <c r="P643" s="67"/>
      <c r="Q643" s="67"/>
      <c r="R643" s="67"/>
      <c r="S643" s="67"/>
      <c r="T643" s="67"/>
      <c r="U643" s="67"/>
      <c r="V643" s="67"/>
      <c r="W643" s="67"/>
      <c r="X643" s="67"/>
      <c r="Y643" s="67"/>
      <c r="Z643" s="67"/>
      <c r="AA643" s="67"/>
      <c r="AB643" s="67"/>
      <c r="AC643" s="67"/>
      <c r="AD643" s="67"/>
      <c r="AE643" s="67"/>
    </row>
    <row r="644">
      <c r="A644" s="17" t="s">
        <v>2024</v>
      </c>
      <c r="C644" s="1" t="s">
        <v>2236</v>
      </c>
      <c r="D644" s="16" t="s">
        <v>2025</v>
      </c>
      <c r="E644" s="14" t="s">
        <v>3221</v>
      </c>
      <c r="F644" s="16" t="s">
        <v>2026</v>
      </c>
      <c r="G644" s="9"/>
      <c r="H644" s="14" t="s">
        <v>91</v>
      </c>
      <c r="I644" s="14" t="s">
        <v>1780</v>
      </c>
      <c r="J644" s="14">
        <v>1.0</v>
      </c>
      <c r="K644" s="39"/>
      <c r="L644" s="1" t="s">
        <v>572</v>
      </c>
      <c r="M644" s="1" t="s">
        <v>2025</v>
      </c>
      <c r="N644" s="1" t="s">
        <v>3222</v>
      </c>
      <c r="O644" s="1" t="s">
        <v>2026</v>
      </c>
      <c r="P644" s="1" t="s">
        <v>2027</v>
      </c>
      <c r="Q644" s="1" t="s">
        <v>54</v>
      </c>
      <c r="R644" s="8" t="s">
        <v>2028</v>
      </c>
    </row>
    <row r="645">
      <c r="A645" s="17" t="s">
        <v>2024</v>
      </c>
      <c r="C645" s="1" t="s">
        <v>2236</v>
      </c>
      <c r="D645" s="16" t="s">
        <v>2029</v>
      </c>
      <c r="E645" s="14" t="s">
        <v>3223</v>
      </c>
      <c r="F645" s="16" t="s">
        <v>1563</v>
      </c>
      <c r="G645" s="14" t="s">
        <v>1344</v>
      </c>
      <c r="H645" s="14" t="s">
        <v>44</v>
      </c>
      <c r="I645" s="14" t="s">
        <v>1780</v>
      </c>
      <c r="J645" s="14">
        <v>2.0</v>
      </c>
      <c r="K645" s="39"/>
      <c r="L645" s="1">
        <v>2.0</v>
      </c>
      <c r="M645" s="1" t="s">
        <v>2029</v>
      </c>
      <c r="O645" s="1" t="s">
        <v>1563</v>
      </c>
      <c r="P645" s="1" t="s">
        <v>2030</v>
      </c>
      <c r="Q645" s="1" t="s">
        <v>44</v>
      </c>
      <c r="R645" s="8" t="s">
        <v>2028</v>
      </c>
    </row>
    <row r="646">
      <c r="A646" s="17" t="s">
        <v>2024</v>
      </c>
      <c r="C646" s="1" t="s">
        <v>2236</v>
      </c>
      <c r="D646" s="16" t="s">
        <v>2041</v>
      </c>
      <c r="E646" s="14" t="s">
        <v>1743</v>
      </c>
      <c r="F646" s="16" t="s">
        <v>2043</v>
      </c>
      <c r="G646" s="14" t="s">
        <v>3224</v>
      </c>
      <c r="H646" s="14" t="s">
        <v>39</v>
      </c>
      <c r="I646" s="14" t="s">
        <v>1780</v>
      </c>
      <c r="J646" s="14">
        <v>3.0</v>
      </c>
      <c r="K646" s="39"/>
      <c r="L646" s="1">
        <v>6.0</v>
      </c>
      <c r="M646" s="1" t="s">
        <v>2031</v>
      </c>
      <c r="N646" s="1" t="s">
        <v>2032</v>
      </c>
      <c r="O646" s="1" t="s">
        <v>2033</v>
      </c>
      <c r="P646" s="1" t="s">
        <v>2034</v>
      </c>
      <c r="Q646" s="1" t="s">
        <v>3225</v>
      </c>
      <c r="R646" s="1" t="s">
        <v>2028</v>
      </c>
    </row>
    <row r="647">
      <c r="A647" s="17" t="s">
        <v>2024</v>
      </c>
      <c r="C647" s="1" t="s">
        <v>2384</v>
      </c>
      <c r="D647" s="12" t="s">
        <v>3226</v>
      </c>
      <c r="E647" s="9" t="s">
        <v>3227</v>
      </c>
      <c r="F647" s="12" t="s">
        <v>3228</v>
      </c>
      <c r="G647" s="9" t="s">
        <v>3229</v>
      </c>
      <c r="H647" s="9" t="s">
        <v>2388</v>
      </c>
      <c r="I647" s="9" t="s">
        <v>2028</v>
      </c>
      <c r="J647" s="14">
        <v>4.0</v>
      </c>
      <c r="K647" s="39"/>
      <c r="L647" s="1">
        <v>5.0</v>
      </c>
      <c r="M647" s="1" t="s">
        <v>2035</v>
      </c>
      <c r="O647" s="1" t="s">
        <v>357</v>
      </c>
      <c r="P647" s="1" t="s">
        <v>309</v>
      </c>
      <c r="Q647" s="1" t="s">
        <v>39</v>
      </c>
      <c r="R647" s="1" t="s">
        <v>2028</v>
      </c>
    </row>
    <row r="648">
      <c r="A648" s="17" t="s">
        <v>2024</v>
      </c>
      <c r="C648" s="1" t="s">
        <v>2384</v>
      </c>
      <c r="D648" s="12" t="s">
        <v>2035</v>
      </c>
      <c r="E648" s="9"/>
      <c r="F648" s="12" t="s">
        <v>357</v>
      </c>
      <c r="G648" s="9" t="s">
        <v>358</v>
      </c>
      <c r="H648" s="9" t="s">
        <v>39</v>
      </c>
      <c r="I648" s="9" t="s">
        <v>2028</v>
      </c>
      <c r="J648" s="14">
        <v>5.0</v>
      </c>
      <c r="K648" s="39"/>
      <c r="L648" s="1">
        <v>7.0</v>
      </c>
      <c r="M648" s="1" t="s">
        <v>2036</v>
      </c>
      <c r="N648" s="1" t="s">
        <v>412</v>
      </c>
      <c r="O648" s="1" t="s">
        <v>2037</v>
      </c>
      <c r="P648" s="1" t="s">
        <v>2038</v>
      </c>
      <c r="Q648" s="1" t="s">
        <v>39</v>
      </c>
      <c r="R648" s="1" t="s">
        <v>2028</v>
      </c>
    </row>
    <row r="649">
      <c r="A649" s="17" t="s">
        <v>2024</v>
      </c>
      <c r="C649" s="1" t="s">
        <v>2384</v>
      </c>
      <c r="D649" s="12" t="s">
        <v>2031</v>
      </c>
      <c r="E649" s="9" t="s">
        <v>3230</v>
      </c>
      <c r="F649" s="12" t="s">
        <v>2033</v>
      </c>
      <c r="G649" s="9" t="s">
        <v>3231</v>
      </c>
      <c r="H649" s="9" t="s">
        <v>2388</v>
      </c>
      <c r="I649" s="9" t="s">
        <v>2028</v>
      </c>
      <c r="J649" s="14">
        <v>6.0</v>
      </c>
      <c r="K649" s="39"/>
      <c r="L649" s="1">
        <v>8.0</v>
      </c>
      <c r="M649" s="1" t="s">
        <v>2036</v>
      </c>
      <c r="O649" s="1" t="s">
        <v>923</v>
      </c>
      <c r="P649" s="1" t="s">
        <v>585</v>
      </c>
      <c r="Q649" s="1" t="s">
        <v>924</v>
      </c>
      <c r="R649" s="1" t="s">
        <v>2028</v>
      </c>
    </row>
    <row r="650">
      <c r="A650" s="17" t="s">
        <v>2024</v>
      </c>
      <c r="C650" s="1" t="s">
        <v>2384</v>
      </c>
      <c r="D650" s="12" t="s">
        <v>2036</v>
      </c>
      <c r="E650" s="9"/>
      <c r="F650" s="12" t="s">
        <v>2037</v>
      </c>
      <c r="G650" s="9" t="s">
        <v>2038</v>
      </c>
      <c r="H650" s="9" t="s">
        <v>39</v>
      </c>
      <c r="I650" s="9" t="s">
        <v>2028</v>
      </c>
      <c r="J650" s="14">
        <v>7.0</v>
      </c>
      <c r="K650" s="39"/>
      <c r="L650" s="1">
        <v>9.0</v>
      </c>
      <c r="M650" s="1" t="s">
        <v>2036</v>
      </c>
      <c r="N650" s="1" t="s">
        <v>412</v>
      </c>
      <c r="O650" s="1" t="s">
        <v>2039</v>
      </c>
      <c r="P650" s="1" t="s">
        <v>2040</v>
      </c>
      <c r="Q650" s="1" t="s">
        <v>39</v>
      </c>
      <c r="R650" s="1" t="s">
        <v>2028</v>
      </c>
    </row>
    <row r="651">
      <c r="A651" s="17" t="s">
        <v>2024</v>
      </c>
      <c r="C651" s="1" t="s">
        <v>2384</v>
      </c>
      <c r="D651" s="12" t="s">
        <v>2036</v>
      </c>
      <c r="E651" s="9"/>
      <c r="F651" s="12" t="s">
        <v>923</v>
      </c>
      <c r="G651" s="9" t="s">
        <v>585</v>
      </c>
      <c r="H651" s="9"/>
      <c r="I651" s="9" t="s">
        <v>2028</v>
      </c>
      <c r="J651" s="14">
        <v>8.0</v>
      </c>
      <c r="K651" s="39"/>
      <c r="L651" s="1" t="s">
        <v>493</v>
      </c>
      <c r="M651" s="1" t="s">
        <v>2041</v>
      </c>
      <c r="N651" s="1" t="s">
        <v>2042</v>
      </c>
      <c r="O651" s="1" t="s">
        <v>2043</v>
      </c>
      <c r="P651" s="1" t="s">
        <v>2044</v>
      </c>
      <c r="Q651" s="1" t="s">
        <v>39</v>
      </c>
      <c r="R651" s="1" t="s">
        <v>2028</v>
      </c>
    </row>
    <row r="652">
      <c r="A652" s="17" t="s">
        <v>2024</v>
      </c>
      <c r="C652" s="1" t="s">
        <v>2384</v>
      </c>
      <c r="D652" s="12" t="s">
        <v>2036</v>
      </c>
      <c r="E652" s="9"/>
      <c r="F652" s="12" t="s">
        <v>3232</v>
      </c>
      <c r="G652" s="9"/>
      <c r="H652" s="9" t="s">
        <v>39</v>
      </c>
      <c r="I652" s="9" t="s">
        <v>2028</v>
      </c>
      <c r="J652" s="14">
        <v>9.0</v>
      </c>
      <c r="K652" s="39"/>
      <c r="L652" s="1">
        <v>11.0</v>
      </c>
      <c r="M652" s="1" t="s">
        <v>2045</v>
      </c>
      <c r="O652" s="1" t="s">
        <v>2046</v>
      </c>
      <c r="P652" s="1" t="s">
        <v>2047</v>
      </c>
      <c r="Q652" s="1" t="s">
        <v>39</v>
      </c>
      <c r="R652" s="1" t="s">
        <v>2028</v>
      </c>
    </row>
    <row r="653">
      <c r="A653" s="17" t="s">
        <v>2024</v>
      </c>
      <c r="C653" s="1" t="s">
        <v>2384</v>
      </c>
      <c r="D653" s="12" t="s">
        <v>3233</v>
      </c>
      <c r="E653" s="9"/>
      <c r="F653" s="12" t="s">
        <v>3234</v>
      </c>
      <c r="G653" s="9" t="s">
        <v>3235</v>
      </c>
      <c r="H653" s="9" t="s">
        <v>39</v>
      </c>
      <c r="I653" s="9" t="s">
        <v>2028</v>
      </c>
      <c r="J653" s="14">
        <v>10.0</v>
      </c>
      <c r="K653" s="39"/>
    </row>
    <row r="654">
      <c r="A654" s="17" t="s">
        <v>2024</v>
      </c>
      <c r="C654" s="1" t="s">
        <v>2384</v>
      </c>
      <c r="D654" s="12" t="s">
        <v>2045</v>
      </c>
      <c r="E654" s="9"/>
      <c r="F654" s="12" t="s">
        <v>2046</v>
      </c>
      <c r="G654" s="9" t="s">
        <v>2047</v>
      </c>
      <c r="H654" s="9" t="s">
        <v>39</v>
      </c>
      <c r="I654" s="9" t="s">
        <v>2028</v>
      </c>
      <c r="J654" s="14">
        <v>11.0</v>
      </c>
      <c r="K654" s="39"/>
    </row>
    <row r="655">
      <c r="A655" s="69"/>
      <c r="C655" s="69"/>
      <c r="D655" s="96"/>
      <c r="E655" s="67"/>
      <c r="F655" s="96"/>
      <c r="G655" s="67"/>
      <c r="H655" s="67"/>
      <c r="I655" s="67"/>
      <c r="J655" s="67"/>
      <c r="K655" s="67"/>
      <c r="L655" s="67"/>
      <c r="M655" s="67"/>
      <c r="N655" s="67"/>
      <c r="O655" s="67"/>
      <c r="P655" s="67"/>
      <c r="Q655" s="67"/>
      <c r="R655" s="67"/>
      <c r="S655" s="67"/>
      <c r="T655" s="67"/>
      <c r="U655" s="67"/>
      <c r="V655" s="67"/>
      <c r="W655" s="67"/>
      <c r="X655" s="67"/>
      <c r="Y655" s="67"/>
      <c r="Z655" s="67"/>
      <c r="AA655" s="67"/>
      <c r="AB655" s="67"/>
      <c r="AC655" s="67"/>
      <c r="AD655" s="67"/>
      <c r="AE655" s="67"/>
    </row>
    <row r="656">
      <c r="A656" s="17" t="s">
        <v>2048</v>
      </c>
      <c r="C656" s="1" t="s">
        <v>2236</v>
      </c>
      <c r="D656" s="16" t="s">
        <v>2049</v>
      </c>
      <c r="E656" s="14" t="s">
        <v>2050</v>
      </c>
      <c r="F656" s="16" t="s">
        <v>2051</v>
      </c>
      <c r="G656" s="14" t="s">
        <v>3236</v>
      </c>
      <c r="H656" s="14" t="s">
        <v>39</v>
      </c>
      <c r="I656" s="14" t="s">
        <v>428</v>
      </c>
      <c r="J656" s="1">
        <v>1.0</v>
      </c>
      <c r="K656" s="39"/>
      <c r="L656" s="1">
        <v>1.0</v>
      </c>
      <c r="M656" s="1" t="s">
        <v>2049</v>
      </c>
      <c r="N656" s="1" t="s">
        <v>2050</v>
      </c>
      <c r="O656" s="1" t="s">
        <v>2051</v>
      </c>
      <c r="P656" s="1" t="s">
        <v>2052</v>
      </c>
      <c r="Q656" s="1" t="s">
        <v>39</v>
      </c>
      <c r="R656" s="1" t="s">
        <v>428</v>
      </c>
    </row>
    <row r="657">
      <c r="A657" s="17" t="s">
        <v>2048</v>
      </c>
      <c r="C657" s="1" t="s">
        <v>2236</v>
      </c>
      <c r="D657" s="16" t="s">
        <v>2058</v>
      </c>
      <c r="E657" s="14" t="s">
        <v>2059</v>
      </c>
      <c r="F657" s="16" t="s">
        <v>3237</v>
      </c>
      <c r="G657" s="14" t="s">
        <v>2067</v>
      </c>
      <c r="H657" s="14" t="s">
        <v>20</v>
      </c>
      <c r="I657" s="14" t="s">
        <v>428</v>
      </c>
      <c r="J657" s="14">
        <v>2.0</v>
      </c>
      <c r="K657" s="39"/>
      <c r="L657" s="1">
        <v>4.0</v>
      </c>
      <c r="M657" s="22" t="s">
        <v>2053</v>
      </c>
      <c r="N657" s="35"/>
      <c r="O657" s="142" t="s">
        <v>923</v>
      </c>
      <c r="P657" s="22" t="s">
        <v>585</v>
      </c>
      <c r="Q657" s="35" t="s">
        <v>924</v>
      </c>
      <c r="R657" s="1" t="s">
        <v>428</v>
      </c>
    </row>
    <row r="658">
      <c r="A658" s="17" t="s">
        <v>2048</v>
      </c>
      <c r="C658" s="1" t="s">
        <v>2236</v>
      </c>
      <c r="D658" s="16" t="s">
        <v>2058</v>
      </c>
      <c r="E658" s="14" t="s">
        <v>3238</v>
      </c>
      <c r="F658" s="16" t="s">
        <v>3239</v>
      </c>
      <c r="G658" s="14" t="s">
        <v>3240</v>
      </c>
      <c r="H658" s="14" t="s">
        <v>54</v>
      </c>
      <c r="I658" s="14" t="s">
        <v>428</v>
      </c>
      <c r="J658" s="14">
        <v>3.0</v>
      </c>
      <c r="K658" s="39"/>
      <c r="L658" s="1" t="s">
        <v>2054</v>
      </c>
      <c r="M658" s="35" t="s">
        <v>2055</v>
      </c>
      <c r="O658" s="1" t="s">
        <v>2056</v>
      </c>
      <c r="P658" s="1" t="s">
        <v>321</v>
      </c>
      <c r="Q658" s="1" t="s">
        <v>44</v>
      </c>
      <c r="R658" s="1" t="s">
        <v>428</v>
      </c>
    </row>
    <row r="659">
      <c r="A659" s="17" t="s">
        <v>2048</v>
      </c>
      <c r="C659" s="1" t="s">
        <v>2384</v>
      </c>
      <c r="D659" s="12" t="s">
        <v>2053</v>
      </c>
      <c r="E659" s="9"/>
      <c r="F659" s="12" t="s">
        <v>923</v>
      </c>
      <c r="G659" s="9" t="s">
        <v>585</v>
      </c>
      <c r="H659" s="9"/>
      <c r="I659" s="9" t="s">
        <v>2090</v>
      </c>
      <c r="J659" s="14">
        <v>4.0</v>
      </c>
      <c r="K659" s="39"/>
      <c r="L659" s="1" t="s">
        <v>2057</v>
      </c>
      <c r="M659" s="1" t="s">
        <v>2058</v>
      </c>
      <c r="N659" s="1" t="s">
        <v>2059</v>
      </c>
      <c r="O659" s="1" t="s">
        <v>2060</v>
      </c>
      <c r="P659" s="1" t="s">
        <v>2061</v>
      </c>
      <c r="Q659" s="1" t="s">
        <v>20</v>
      </c>
      <c r="R659" s="1" t="s">
        <v>428</v>
      </c>
    </row>
    <row r="660">
      <c r="A660" s="17" t="s">
        <v>2048</v>
      </c>
      <c r="C660" s="1" t="s">
        <v>2384</v>
      </c>
      <c r="D660" s="12" t="s">
        <v>2081</v>
      </c>
      <c r="E660" s="9"/>
      <c r="F660" s="12" t="s">
        <v>3241</v>
      </c>
      <c r="G660" s="9" t="s">
        <v>2083</v>
      </c>
      <c r="H660" s="9" t="s">
        <v>39</v>
      </c>
      <c r="I660" s="9" t="s">
        <v>2090</v>
      </c>
      <c r="J660" s="14">
        <v>5.0</v>
      </c>
      <c r="K660" s="39"/>
      <c r="M660" s="1" t="s">
        <v>2058</v>
      </c>
      <c r="N660" s="1" t="s">
        <v>2062</v>
      </c>
      <c r="O660" s="1" t="s">
        <v>2063</v>
      </c>
      <c r="P660" s="1" t="s">
        <v>2064</v>
      </c>
      <c r="Q660" s="1" t="s">
        <v>20</v>
      </c>
      <c r="R660" s="1" t="s">
        <v>428</v>
      </c>
    </row>
    <row r="661">
      <c r="A661" s="17" t="s">
        <v>2048</v>
      </c>
      <c r="C661" s="1" t="s">
        <v>2384</v>
      </c>
      <c r="D661" s="12" t="s">
        <v>2072</v>
      </c>
      <c r="E661" s="9" t="s">
        <v>1921</v>
      </c>
      <c r="F661" s="12" t="s">
        <v>3242</v>
      </c>
      <c r="G661" s="9" t="s">
        <v>3243</v>
      </c>
      <c r="H661" s="9" t="s">
        <v>20</v>
      </c>
      <c r="I661" s="9" t="s">
        <v>2090</v>
      </c>
      <c r="J661" s="14">
        <v>6.0</v>
      </c>
      <c r="K661" s="39"/>
      <c r="L661" s="1">
        <v>2.0</v>
      </c>
      <c r="M661" s="1" t="s">
        <v>2058</v>
      </c>
      <c r="N661" s="1" t="s">
        <v>2065</v>
      </c>
      <c r="O661" s="1" t="s">
        <v>2066</v>
      </c>
      <c r="P661" s="1" t="s">
        <v>2067</v>
      </c>
      <c r="Q661" s="1" t="s">
        <v>20</v>
      </c>
      <c r="R661" s="1" t="s">
        <v>428</v>
      </c>
    </row>
    <row r="662">
      <c r="A662" s="17" t="s">
        <v>2048</v>
      </c>
      <c r="C662" s="1" t="s">
        <v>2384</v>
      </c>
      <c r="D662" s="12" t="s">
        <v>2072</v>
      </c>
      <c r="E662" s="9" t="s">
        <v>1921</v>
      </c>
      <c r="F662" s="12" t="s">
        <v>3244</v>
      </c>
      <c r="G662" s="9" t="s">
        <v>3243</v>
      </c>
      <c r="H662" s="9" t="s">
        <v>20</v>
      </c>
      <c r="I662" s="9" t="s">
        <v>2090</v>
      </c>
      <c r="J662" s="14">
        <v>7.0</v>
      </c>
      <c r="K662" s="39"/>
      <c r="L662" s="1">
        <v>3.0</v>
      </c>
      <c r="M662" s="1" t="s">
        <v>2058</v>
      </c>
      <c r="N662" s="1" t="s">
        <v>2068</v>
      </c>
      <c r="O662" s="1" t="s">
        <v>2069</v>
      </c>
      <c r="P662" s="1" t="s">
        <v>2070</v>
      </c>
      <c r="Q662" s="1" t="s">
        <v>54</v>
      </c>
      <c r="R662" s="1" t="s">
        <v>2071</v>
      </c>
    </row>
    <row r="663">
      <c r="A663" s="17" t="s">
        <v>2048</v>
      </c>
      <c r="C663" s="1" t="s">
        <v>2384</v>
      </c>
      <c r="D663" s="143" t="s">
        <v>2072</v>
      </c>
      <c r="E663" s="144" t="s">
        <v>1921</v>
      </c>
      <c r="F663" s="143" t="s">
        <v>3245</v>
      </c>
      <c r="G663" s="144" t="s">
        <v>3243</v>
      </c>
      <c r="H663" s="144" t="s">
        <v>20</v>
      </c>
      <c r="I663" s="144" t="s">
        <v>2090</v>
      </c>
      <c r="J663" s="138">
        <v>8.0</v>
      </c>
      <c r="K663" s="39"/>
      <c r="L663" s="1">
        <v>11.0</v>
      </c>
      <c r="M663" s="1" t="s">
        <v>2072</v>
      </c>
      <c r="N663" s="1" t="s">
        <v>2073</v>
      </c>
      <c r="O663" s="1" t="s">
        <v>2074</v>
      </c>
      <c r="P663" s="1" t="s">
        <v>2075</v>
      </c>
      <c r="Q663" s="1" t="s">
        <v>39</v>
      </c>
      <c r="R663" s="1" t="s">
        <v>2071</v>
      </c>
    </row>
    <row r="664">
      <c r="A664" s="17" t="s">
        <v>2048</v>
      </c>
      <c r="C664" s="1" t="s">
        <v>2384</v>
      </c>
      <c r="D664" s="12" t="s">
        <v>2072</v>
      </c>
      <c r="E664" s="9" t="s">
        <v>1921</v>
      </c>
      <c r="F664" s="12" t="s">
        <v>3246</v>
      </c>
      <c r="G664" s="9" t="s">
        <v>3247</v>
      </c>
      <c r="H664" s="9" t="s">
        <v>20</v>
      </c>
      <c r="I664" s="9" t="s">
        <v>2090</v>
      </c>
      <c r="J664" s="14">
        <v>9.0</v>
      </c>
      <c r="K664" s="39"/>
      <c r="L664" s="1" t="s">
        <v>2076</v>
      </c>
      <c r="M664" s="1" t="s">
        <v>2072</v>
      </c>
      <c r="N664" s="1" t="s">
        <v>2073</v>
      </c>
      <c r="O664" s="1" t="s">
        <v>2077</v>
      </c>
      <c r="P664" s="1" t="s">
        <v>2078</v>
      </c>
      <c r="Q664" s="1" t="s">
        <v>39</v>
      </c>
      <c r="R664" s="1" t="s">
        <v>2071</v>
      </c>
    </row>
    <row r="665">
      <c r="A665" s="17" t="s">
        <v>2048</v>
      </c>
      <c r="C665" s="1" t="s">
        <v>2384</v>
      </c>
      <c r="D665" s="12" t="s">
        <v>2072</v>
      </c>
      <c r="E665" s="9" t="s">
        <v>1921</v>
      </c>
      <c r="F665" s="12" t="s">
        <v>3248</v>
      </c>
      <c r="G665" s="9"/>
      <c r="H665" s="9" t="s">
        <v>20</v>
      </c>
      <c r="I665" s="9" t="s">
        <v>2090</v>
      </c>
      <c r="J665" s="14">
        <v>10.0</v>
      </c>
      <c r="K665" s="39"/>
      <c r="L665" s="1">
        <v>14.0</v>
      </c>
      <c r="M665" s="1" t="s">
        <v>2079</v>
      </c>
      <c r="N665" s="1" t="s">
        <v>2080</v>
      </c>
      <c r="O665" s="1" t="s">
        <v>357</v>
      </c>
      <c r="P665" s="1" t="s">
        <v>358</v>
      </c>
      <c r="Q665" s="1" t="s">
        <v>39</v>
      </c>
      <c r="R665" s="1" t="s">
        <v>428</v>
      </c>
    </row>
    <row r="666">
      <c r="A666" s="17" t="s">
        <v>2048</v>
      </c>
      <c r="C666" s="1" t="s">
        <v>2384</v>
      </c>
      <c r="D666" s="12" t="s">
        <v>2072</v>
      </c>
      <c r="E666" s="9" t="s">
        <v>3249</v>
      </c>
      <c r="F666" s="12" t="s">
        <v>3250</v>
      </c>
      <c r="G666" s="9"/>
      <c r="H666" s="9" t="s">
        <v>20</v>
      </c>
      <c r="I666" s="9" t="s">
        <v>2090</v>
      </c>
      <c r="J666" s="14">
        <v>11.0</v>
      </c>
      <c r="K666" s="39"/>
      <c r="L666" s="1">
        <v>7.0</v>
      </c>
      <c r="M666" s="1" t="s">
        <v>2081</v>
      </c>
      <c r="N666" s="1" t="s">
        <v>412</v>
      </c>
      <c r="O666" s="1" t="s">
        <v>2082</v>
      </c>
      <c r="P666" s="1" t="s">
        <v>2083</v>
      </c>
      <c r="Q666" s="1" t="s">
        <v>39</v>
      </c>
      <c r="R666" s="1" t="s">
        <v>428</v>
      </c>
    </row>
    <row r="667">
      <c r="A667" s="17" t="s">
        <v>2048</v>
      </c>
      <c r="C667" s="1" t="s">
        <v>2384</v>
      </c>
      <c r="D667" s="12" t="s">
        <v>2086</v>
      </c>
      <c r="E667" s="9" t="s">
        <v>2087</v>
      </c>
      <c r="F667" s="12" t="s">
        <v>2088</v>
      </c>
      <c r="G667" s="9" t="s">
        <v>1669</v>
      </c>
      <c r="H667" s="9" t="s">
        <v>14</v>
      </c>
      <c r="I667" s="9" t="s">
        <v>2090</v>
      </c>
      <c r="J667" s="14">
        <v>12.0</v>
      </c>
      <c r="K667" s="39"/>
      <c r="L667" s="1">
        <v>15.0</v>
      </c>
      <c r="M667" s="1" t="s">
        <v>2084</v>
      </c>
      <c r="N667" s="1" t="s">
        <v>412</v>
      </c>
      <c r="O667" s="1" t="s">
        <v>2085</v>
      </c>
      <c r="P667" s="1" t="s">
        <v>358</v>
      </c>
      <c r="Q667" s="1" t="s">
        <v>39</v>
      </c>
      <c r="R667" s="1" t="s">
        <v>428</v>
      </c>
    </row>
    <row r="668">
      <c r="A668" s="17" t="s">
        <v>2048</v>
      </c>
      <c r="C668" s="1" t="s">
        <v>2384</v>
      </c>
      <c r="D668" s="12" t="s">
        <v>3251</v>
      </c>
      <c r="E668" s="9"/>
      <c r="F668" s="12" t="s">
        <v>3252</v>
      </c>
      <c r="G668" s="9" t="s">
        <v>3253</v>
      </c>
      <c r="H668" s="9" t="s">
        <v>54</v>
      </c>
      <c r="I668" s="9" t="s">
        <v>2090</v>
      </c>
      <c r="J668" s="14">
        <v>13.0</v>
      </c>
      <c r="K668" s="39"/>
      <c r="L668" s="1">
        <v>12.0</v>
      </c>
      <c r="M668" s="1" t="s">
        <v>2086</v>
      </c>
      <c r="N668" s="1" t="s">
        <v>2087</v>
      </c>
      <c r="O668" s="1" t="s">
        <v>2088</v>
      </c>
      <c r="P668" s="1" t="s">
        <v>2089</v>
      </c>
      <c r="Q668" s="1" t="s">
        <v>14</v>
      </c>
      <c r="R668" s="1" t="s">
        <v>2090</v>
      </c>
    </row>
    <row r="669">
      <c r="A669" s="17" t="s">
        <v>2048</v>
      </c>
      <c r="C669" s="1" t="s">
        <v>2384</v>
      </c>
      <c r="D669" s="12" t="s">
        <v>2079</v>
      </c>
      <c r="E669" s="9"/>
      <c r="F669" s="12" t="s">
        <v>357</v>
      </c>
      <c r="G669" s="9" t="s">
        <v>358</v>
      </c>
      <c r="H669" s="9" t="s">
        <v>39</v>
      </c>
      <c r="I669" s="9" t="s">
        <v>2090</v>
      </c>
      <c r="J669" s="14">
        <v>14.0</v>
      </c>
      <c r="K669" s="39"/>
    </row>
    <row r="670">
      <c r="A670" s="17" t="s">
        <v>2048</v>
      </c>
      <c r="C670" s="1" t="s">
        <v>2384</v>
      </c>
      <c r="D670" s="12" t="s">
        <v>2084</v>
      </c>
      <c r="E670" s="9"/>
      <c r="F670" s="12" t="s">
        <v>2085</v>
      </c>
      <c r="G670" s="9" t="s">
        <v>358</v>
      </c>
      <c r="H670" s="9" t="s">
        <v>39</v>
      </c>
      <c r="I670" s="9" t="s">
        <v>2090</v>
      </c>
      <c r="J670" s="14">
        <v>15.0</v>
      </c>
      <c r="K670" s="39"/>
    </row>
    <row r="671">
      <c r="A671" s="69"/>
      <c r="C671" s="69"/>
      <c r="D671" s="96"/>
      <c r="E671" s="67"/>
      <c r="F671" s="96"/>
      <c r="G671" s="67"/>
      <c r="H671" s="67"/>
      <c r="I671" s="67"/>
      <c r="J671" s="67"/>
      <c r="K671" s="67"/>
      <c r="L671" s="67"/>
      <c r="M671" s="67"/>
      <c r="N671" s="67"/>
      <c r="O671" s="67"/>
      <c r="P671" s="67"/>
      <c r="Q671" s="67"/>
      <c r="R671" s="67"/>
      <c r="S671" s="67"/>
      <c r="T671" s="67"/>
      <c r="U671" s="67"/>
      <c r="V671" s="67"/>
      <c r="W671" s="67"/>
      <c r="X671" s="67"/>
      <c r="Y671" s="67"/>
      <c r="Z671" s="67"/>
      <c r="AA671" s="67"/>
      <c r="AB671" s="67"/>
      <c r="AC671" s="67"/>
      <c r="AD671" s="67"/>
      <c r="AE671" s="67"/>
    </row>
    <row r="672">
      <c r="A672" s="17" t="s">
        <v>2091</v>
      </c>
      <c r="C672" s="1" t="s">
        <v>2303</v>
      </c>
      <c r="D672" s="16" t="s">
        <v>2092</v>
      </c>
      <c r="E672" s="14" t="s">
        <v>2093</v>
      </c>
      <c r="F672" s="16" t="s">
        <v>2094</v>
      </c>
      <c r="G672" s="14" t="s">
        <v>3254</v>
      </c>
      <c r="H672" s="14" t="s">
        <v>14</v>
      </c>
      <c r="I672" s="14" t="s">
        <v>830</v>
      </c>
      <c r="J672" s="14">
        <v>1.0</v>
      </c>
      <c r="K672" s="39"/>
      <c r="L672" s="1" t="s">
        <v>285</v>
      </c>
      <c r="M672" s="1" t="s">
        <v>2092</v>
      </c>
      <c r="N672" s="1" t="s">
        <v>2093</v>
      </c>
      <c r="O672" s="1" t="s">
        <v>2094</v>
      </c>
      <c r="P672" s="1" t="s">
        <v>2095</v>
      </c>
      <c r="Q672" s="1" t="s">
        <v>14</v>
      </c>
      <c r="R672" s="1" t="s">
        <v>2096</v>
      </c>
    </row>
    <row r="673">
      <c r="A673" s="17" t="s">
        <v>2091</v>
      </c>
      <c r="C673" s="1" t="s">
        <v>2303</v>
      </c>
      <c r="D673" s="16" t="s">
        <v>2092</v>
      </c>
      <c r="E673" s="14" t="s">
        <v>2097</v>
      </c>
      <c r="F673" s="16" t="s">
        <v>2098</v>
      </c>
      <c r="G673" s="14" t="s">
        <v>2099</v>
      </c>
      <c r="H673" s="14" t="s">
        <v>14</v>
      </c>
      <c r="I673" s="14" t="s">
        <v>830</v>
      </c>
      <c r="J673" s="14">
        <v>2.0</v>
      </c>
      <c r="K673" s="39"/>
      <c r="L673" s="1" t="s">
        <v>266</v>
      </c>
      <c r="M673" s="1" t="s">
        <v>2092</v>
      </c>
      <c r="N673" s="1" t="s">
        <v>2097</v>
      </c>
      <c r="O673" s="1" t="s">
        <v>2098</v>
      </c>
      <c r="P673" s="1" t="s">
        <v>2099</v>
      </c>
      <c r="Q673" s="1" t="s">
        <v>14</v>
      </c>
      <c r="R673" s="1" t="s">
        <v>2096</v>
      </c>
    </row>
    <row r="674">
      <c r="A674" s="17" t="s">
        <v>2091</v>
      </c>
      <c r="C674" s="1" t="s">
        <v>2303</v>
      </c>
      <c r="D674" s="16" t="s">
        <v>2118</v>
      </c>
      <c r="E674" s="14" t="s">
        <v>2119</v>
      </c>
      <c r="F674" s="16" t="s">
        <v>2120</v>
      </c>
      <c r="G674" s="14" t="s">
        <v>3255</v>
      </c>
      <c r="H674" s="14" t="s">
        <v>44</v>
      </c>
      <c r="I674" s="14" t="s">
        <v>830</v>
      </c>
      <c r="J674" s="14">
        <v>3.0</v>
      </c>
      <c r="K674" s="39"/>
      <c r="L674" s="1" t="s">
        <v>2100</v>
      </c>
      <c r="M674" s="1" t="s">
        <v>2101</v>
      </c>
      <c r="N674" s="1" t="s">
        <v>2102</v>
      </c>
      <c r="O674" s="145" t="s">
        <v>2103</v>
      </c>
      <c r="P674" s="1" t="s">
        <v>2104</v>
      </c>
      <c r="Q674" s="1" t="s">
        <v>14</v>
      </c>
      <c r="R674" s="1" t="s">
        <v>2096</v>
      </c>
    </row>
    <row r="675">
      <c r="A675" s="17" t="s">
        <v>2091</v>
      </c>
      <c r="C675" s="1" t="s">
        <v>2303</v>
      </c>
      <c r="D675" s="16" t="s">
        <v>2118</v>
      </c>
      <c r="E675" s="14" t="s">
        <v>2123</v>
      </c>
      <c r="F675" s="16" t="s">
        <v>3256</v>
      </c>
      <c r="G675" s="14" t="s">
        <v>3255</v>
      </c>
      <c r="H675" s="14" t="s">
        <v>20</v>
      </c>
      <c r="I675" s="14" t="s">
        <v>830</v>
      </c>
      <c r="J675" s="14">
        <v>4.0</v>
      </c>
      <c r="K675" s="39"/>
      <c r="L675" s="1" t="s">
        <v>2105</v>
      </c>
      <c r="M675" s="1" t="s">
        <v>2106</v>
      </c>
      <c r="N675" s="1" t="s">
        <v>2107</v>
      </c>
      <c r="O675" s="1" t="s">
        <v>2108</v>
      </c>
      <c r="P675" s="1" t="s">
        <v>2104</v>
      </c>
      <c r="Q675" s="1" t="s">
        <v>14</v>
      </c>
      <c r="R675" s="1" t="s">
        <v>2096</v>
      </c>
    </row>
    <row r="676">
      <c r="A676" s="17" t="s">
        <v>2091</v>
      </c>
      <c r="C676" s="1" t="s">
        <v>2303</v>
      </c>
      <c r="D676" s="16" t="s">
        <v>2118</v>
      </c>
      <c r="E676" s="14" t="s">
        <v>2123</v>
      </c>
      <c r="F676" s="16" t="s">
        <v>3257</v>
      </c>
      <c r="G676" s="14" t="s">
        <v>3258</v>
      </c>
      <c r="H676" s="14" t="s">
        <v>44</v>
      </c>
      <c r="I676" s="14" t="s">
        <v>830</v>
      </c>
      <c r="J676" s="14">
        <v>5.0</v>
      </c>
      <c r="K676" s="39"/>
      <c r="L676" s="1">
        <v>12.0</v>
      </c>
      <c r="M676" s="1" t="s">
        <v>2106</v>
      </c>
      <c r="N676" s="1" t="s">
        <v>2109</v>
      </c>
      <c r="O676" s="1" t="s">
        <v>2110</v>
      </c>
      <c r="P676" s="1" t="s">
        <v>2111</v>
      </c>
      <c r="Q676" s="1" t="s">
        <v>14</v>
      </c>
      <c r="R676" s="1" t="s">
        <v>2096</v>
      </c>
    </row>
    <row r="677">
      <c r="A677" s="17" t="s">
        <v>2091</v>
      </c>
      <c r="C677" s="1" t="s">
        <v>2303</v>
      </c>
      <c r="D677" s="16" t="s">
        <v>2131</v>
      </c>
      <c r="E677" s="14" t="s">
        <v>3259</v>
      </c>
      <c r="F677" s="16" t="s">
        <v>3260</v>
      </c>
      <c r="G677" s="14" t="s">
        <v>3261</v>
      </c>
      <c r="H677" s="14" t="s">
        <v>39</v>
      </c>
      <c r="I677" s="14" t="s">
        <v>830</v>
      </c>
      <c r="J677" s="14">
        <v>6.0</v>
      </c>
      <c r="K677" s="39"/>
      <c r="L677" s="1">
        <v>13.0</v>
      </c>
      <c r="M677" s="1" t="s">
        <v>2112</v>
      </c>
      <c r="N677" s="1" t="s">
        <v>2113</v>
      </c>
      <c r="O677" s="1" t="s">
        <v>2114</v>
      </c>
      <c r="P677" s="1" t="s">
        <v>2115</v>
      </c>
      <c r="Q677" s="1" t="s">
        <v>54</v>
      </c>
      <c r="R677" s="1" t="s">
        <v>2096</v>
      </c>
    </row>
    <row r="678">
      <c r="A678" s="17" t="s">
        <v>2091</v>
      </c>
      <c r="C678" s="1" t="s">
        <v>2303</v>
      </c>
      <c r="D678" s="16" t="s">
        <v>2138</v>
      </c>
      <c r="E678" s="9"/>
      <c r="F678" s="16" t="s">
        <v>2139</v>
      </c>
      <c r="G678" s="9"/>
      <c r="H678" s="14" t="s">
        <v>39</v>
      </c>
      <c r="I678" s="14" t="s">
        <v>830</v>
      </c>
      <c r="J678" s="14">
        <v>7.0</v>
      </c>
      <c r="K678" s="39"/>
      <c r="L678" s="1">
        <v>14.0</v>
      </c>
      <c r="M678" s="1" t="s">
        <v>2116</v>
      </c>
      <c r="O678" s="1" t="s">
        <v>2117</v>
      </c>
      <c r="P678" s="1" t="s">
        <v>98</v>
      </c>
      <c r="Q678" s="1" t="s">
        <v>44</v>
      </c>
      <c r="R678" s="1" t="s">
        <v>2096</v>
      </c>
    </row>
    <row r="679">
      <c r="A679" s="17" t="s">
        <v>2091</v>
      </c>
      <c r="C679" s="1" t="s">
        <v>2384</v>
      </c>
      <c r="D679" s="12" t="s">
        <v>3262</v>
      </c>
      <c r="E679" s="9" t="s">
        <v>3263</v>
      </c>
      <c r="F679" s="12" t="s">
        <v>2654</v>
      </c>
      <c r="G679" s="9"/>
      <c r="H679" s="9" t="s">
        <v>20</v>
      </c>
      <c r="I679" s="9" t="s">
        <v>2096</v>
      </c>
      <c r="J679" s="14">
        <v>8.0</v>
      </c>
      <c r="K679" s="39"/>
      <c r="L679" s="1">
        <v>3.0</v>
      </c>
      <c r="M679" s="1" t="s">
        <v>2118</v>
      </c>
      <c r="N679" s="1" t="s">
        <v>2119</v>
      </c>
      <c r="O679" s="1" t="s">
        <v>2120</v>
      </c>
      <c r="P679" s="1" t="s">
        <v>2121</v>
      </c>
      <c r="Q679" s="1" t="s">
        <v>3264</v>
      </c>
      <c r="R679" s="1" t="s">
        <v>2096</v>
      </c>
    </row>
    <row r="680">
      <c r="A680" s="17" t="s">
        <v>2091</v>
      </c>
      <c r="C680" s="1" t="s">
        <v>2384</v>
      </c>
      <c r="D680" s="12" t="s">
        <v>3262</v>
      </c>
      <c r="E680" s="9" t="s">
        <v>3265</v>
      </c>
      <c r="F680" s="12" t="s">
        <v>3266</v>
      </c>
      <c r="G680" s="9"/>
      <c r="H680" s="9" t="s">
        <v>20</v>
      </c>
      <c r="I680" s="9" t="s">
        <v>2096</v>
      </c>
      <c r="J680" s="14">
        <v>9.0</v>
      </c>
      <c r="K680" s="39"/>
      <c r="L680" s="1" t="s">
        <v>2122</v>
      </c>
      <c r="M680" s="1" t="s">
        <v>2118</v>
      </c>
      <c r="N680" s="1" t="s">
        <v>2123</v>
      </c>
      <c r="O680" s="20" t="s">
        <v>2124</v>
      </c>
      <c r="P680" s="1" t="s">
        <v>2121</v>
      </c>
      <c r="Q680" s="1" t="s">
        <v>20</v>
      </c>
      <c r="R680" s="1" t="s">
        <v>2096</v>
      </c>
    </row>
    <row r="681">
      <c r="A681" s="17" t="s">
        <v>2091</v>
      </c>
      <c r="C681" s="1" t="s">
        <v>2384</v>
      </c>
      <c r="D681" s="12" t="s">
        <v>2101</v>
      </c>
      <c r="E681" s="9" t="s">
        <v>2102</v>
      </c>
      <c r="F681" s="12" t="s">
        <v>3267</v>
      </c>
      <c r="G681" s="9" t="s">
        <v>2104</v>
      </c>
      <c r="H681" s="9" t="s">
        <v>14</v>
      </c>
      <c r="I681" s="9" t="s">
        <v>2096</v>
      </c>
      <c r="J681" s="14">
        <v>10.0</v>
      </c>
      <c r="K681" s="39"/>
      <c r="L681" s="1" t="s">
        <v>92</v>
      </c>
      <c r="M681" s="1" t="s">
        <v>2118</v>
      </c>
      <c r="N681" s="1" t="s">
        <v>2123</v>
      </c>
      <c r="O681" s="1" t="s">
        <v>2125</v>
      </c>
      <c r="P681" s="1" t="s">
        <v>2126</v>
      </c>
      <c r="Q681" s="1" t="s">
        <v>44</v>
      </c>
      <c r="R681" s="1" t="s">
        <v>2096</v>
      </c>
    </row>
    <row r="682">
      <c r="A682" s="17" t="s">
        <v>2091</v>
      </c>
      <c r="C682" s="1" t="s">
        <v>2384</v>
      </c>
      <c r="D682" s="12" t="s">
        <v>2106</v>
      </c>
      <c r="E682" s="9" t="s">
        <v>2107</v>
      </c>
      <c r="F682" s="12" t="s">
        <v>3268</v>
      </c>
      <c r="G682" s="9" t="s">
        <v>2104</v>
      </c>
      <c r="H682" s="9" t="s">
        <v>14</v>
      </c>
      <c r="I682" s="9" t="s">
        <v>2096</v>
      </c>
      <c r="J682" s="14">
        <v>11.0</v>
      </c>
      <c r="K682" s="39"/>
      <c r="L682" s="1" t="s">
        <v>1564</v>
      </c>
      <c r="M682" s="1" t="s">
        <v>2116</v>
      </c>
      <c r="N682" s="1" t="s">
        <v>2127</v>
      </c>
      <c r="O682" s="1" t="s">
        <v>2128</v>
      </c>
      <c r="P682" s="1" t="s">
        <v>2121</v>
      </c>
      <c r="Q682" s="1" t="s">
        <v>20</v>
      </c>
      <c r="R682" s="1" t="s">
        <v>2096</v>
      </c>
    </row>
    <row r="683">
      <c r="A683" s="17" t="s">
        <v>2091</v>
      </c>
      <c r="C683" s="1" t="s">
        <v>2384</v>
      </c>
      <c r="D683" s="12" t="s">
        <v>2106</v>
      </c>
      <c r="E683" s="9" t="s">
        <v>2109</v>
      </c>
      <c r="F683" s="12" t="s">
        <v>2110</v>
      </c>
      <c r="G683" s="9" t="s">
        <v>2111</v>
      </c>
      <c r="H683" s="9" t="s">
        <v>14</v>
      </c>
      <c r="I683" s="9" t="s">
        <v>2096</v>
      </c>
      <c r="J683" s="14">
        <v>12.0</v>
      </c>
      <c r="K683" s="39"/>
      <c r="L683" s="1" t="s">
        <v>1919</v>
      </c>
      <c r="M683" s="1" t="s">
        <v>2116</v>
      </c>
      <c r="N683" s="1" t="s">
        <v>2127</v>
      </c>
      <c r="O683" s="1" t="s">
        <v>2129</v>
      </c>
      <c r="P683" s="1" t="s">
        <v>2130</v>
      </c>
      <c r="Q683" s="1" t="s">
        <v>20</v>
      </c>
      <c r="R683" s="1" t="s">
        <v>2096</v>
      </c>
    </row>
    <row r="684">
      <c r="A684" s="17" t="s">
        <v>2091</v>
      </c>
      <c r="C684" s="1" t="s">
        <v>2384</v>
      </c>
      <c r="D684" s="12" t="s">
        <v>2112</v>
      </c>
      <c r="E684" s="9" t="s">
        <v>2113</v>
      </c>
      <c r="F684" s="12" t="s">
        <v>2114</v>
      </c>
      <c r="G684" s="9" t="s">
        <v>2115</v>
      </c>
      <c r="H684" s="9" t="s">
        <v>54</v>
      </c>
      <c r="I684" s="9" t="s">
        <v>2096</v>
      </c>
      <c r="J684" s="14">
        <v>13.0</v>
      </c>
      <c r="K684" s="39"/>
      <c r="L684" s="1">
        <v>6.0</v>
      </c>
      <c r="M684" s="22" t="s">
        <v>2131</v>
      </c>
      <c r="N684" s="35" t="s">
        <v>2132</v>
      </c>
      <c r="O684" s="146" t="s">
        <v>2133</v>
      </c>
      <c r="P684" s="35" t="s">
        <v>1027</v>
      </c>
      <c r="Q684" s="22" t="s">
        <v>39</v>
      </c>
      <c r="R684" s="1" t="s">
        <v>2096</v>
      </c>
    </row>
    <row r="685">
      <c r="A685" s="17" t="s">
        <v>2091</v>
      </c>
      <c r="C685" s="1" t="s">
        <v>2384</v>
      </c>
      <c r="D685" s="12" t="s">
        <v>2116</v>
      </c>
      <c r="E685" s="9"/>
      <c r="F685" s="12" t="s">
        <v>3269</v>
      </c>
      <c r="G685" s="9"/>
      <c r="H685" s="9" t="s">
        <v>44</v>
      </c>
      <c r="I685" s="9" t="s">
        <v>2096</v>
      </c>
      <c r="J685" s="14">
        <v>14.0</v>
      </c>
      <c r="K685" s="39"/>
      <c r="L685" s="1">
        <v>21.0</v>
      </c>
      <c r="M685" s="1" t="s">
        <v>2134</v>
      </c>
      <c r="O685" s="1" t="s">
        <v>2135</v>
      </c>
      <c r="P685" s="1" t="s">
        <v>2136</v>
      </c>
      <c r="Q685" s="1" t="s">
        <v>39</v>
      </c>
      <c r="R685" s="1" t="s">
        <v>2096</v>
      </c>
    </row>
    <row r="686">
      <c r="A686" s="17" t="s">
        <v>2091</v>
      </c>
      <c r="C686" s="1" t="s">
        <v>2384</v>
      </c>
      <c r="D686" s="12" t="s">
        <v>2116</v>
      </c>
      <c r="E686" s="9" t="s">
        <v>2127</v>
      </c>
      <c r="F686" s="12" t="s">
        <v>2124</v>
      </c>
      <c r="G686" s="9" t="s">
        <v>3270</v>
      </c>
      <c r="H686" s="9" t="s">
        <v>20</v>
      </c>
      <c r="I686" s="9" t="s">
        <v>2096</v>
      </c>
      <c r="J686" s="14">
        <v>15.0</v>
      </c>
      <c r="K686" s="39"/>
      <c r="L686" s="1" t="s">
        <v>2137</v>
      </c>
      <c r="M686" s="1" t="s">
        <v>2138</v>
      </c>
      <c r="O686" s="1" t="s">
        <v>2139</v>
      </c>
      <c r="P686" s="1" t="s">
        <v>2140</v>
      </c>
      <c r="Q686" s="1" t="s">
        <v>39</v>
      </c>
      <c r="R686" s="1" t="s">
        <v>2096</v>
      </c>
    </row>
    <row r="687">
      <c r="A687" s="17" t="s">
        <v>2091</v>
      </c>
      <c r="C687" s="1" t="s">
        <v>2384</v>
      </c>
      <c r="D687" s="12" t="s">
        <v>2116</v>
      </c>
      <c r="E687" s="9" t="s">
        <v>2127</v>
      </c>
      <c r="F687" s="12" t="s">
        <v>2129</v>
      </c>
      <c r="G687" s="9" t="s">
        <v>2130</v>
      </c>
      <c r="H687" s="9" t="s">
        <v>20</v>
      </c>
      <c r="I687" s="9" t="s">
        <v>2096</v>
      </c>
      <c r="J687" s="14">
        <v>16.0</v>
      </c>
      <c r="K687" s="39"/>
      <c r="L687" s="1">
        <v>18.0</v>
      </c>
      <c r="M687" s="1" t="s">
        <v>2116</v>
      </c>
      <c r="N687" s="1" t="s">
        <v>2141</v>
      </c>
      <c r="O687" s="1" t="s">
        <v>2142</v>
      </c>
      <c r="P687" s="1" t="s">
        <v>2143</v>
      </c>
      <c r="Q687" s="1" t="s">
        <v>20</v>
      </c>
      <c r="R687" s="1" t="s">
        <v>2096</v>
      </c>
    </row>
    <row r="688">
      <c r="A688" s="17" t="s">
        <v>2091</v>
      </c>
      <c r="C688" s="1" t="s">
        <v>2384</v>
      </c>
      <c r="D688" s="12" t="s">
        <v>2116</v>
      </c>
      <c r="E688" s="9" t="s">
        <v>2127</v>
      </c>
      <c r="F688" s="12" t="s">
        <v>2128</v>
      </c>
      <c r="G688" s="9"/>
      <c r="H688" s="9" t="s">
        <v>20</v>
      </c>
      <c r="I688" s="9" t="s">
        <v>2096</v>
      </c>
      <c r="J688" s="14">
        <v>17.0</v>
      </c>
      <c r="K688" s="39"/>
      <c r="L688" s="1">
        <v>20.0</v>
      </c>
      <c r="M688" s="1" t="s">
        <v>2144</v>
      </c>
      <c r="O688" s="1" t="s">
        <v>2145</v>
      </c>
      <c r="P688" s="1" t="s">
        <v>2146</v>
      </c>
      <c r="Q688" s="1" t="s">
        <v>3225</v>
      </c>
      <c r="R688" s="1" t="s">
        <v>2096</v>
      </c>
    </row>
    <row r="689">
      <c r="A689" s="17" t="s">
        <v>2091</v>
      </c>
      <c r="C689" s="1" t="s">
        <v>2384</v>
      </c>
      <c r="D689" s="12" t="s">
        <v>2116</v>
      </c>
      <c r="E689" s="9" t="s">
        <v>2127</v>
      </c>
      <c r="F689" s="12" t="s">
        <v>3271</v>
      </c>
      <c r="G689" s="9" t="s">
        <v>2143</v>
      </c>
      <c r="H689" s="9" t="s">
        <v>20</v>
      </c>
      <c r="I689" s="9" t="s">
        <v>2096</v>
      </c>
      <c r="J689" s="14">
        <v>18.0</v>
      </c>
      <c r="K689" s="39"/>
    </row>
    <row r="690">
      <c r="A690" s="17" t="s">
        <v>2091</v>
      </c>
      <c r="C690" s="1" t="s">
        <v>2384</v>
      </c>
      <c r="D690" s="12" t="s">
        <v>2116</v>
      </c>
      <c r="E690" s="9" t="s">
        <v>2127</v>
      </c>
      <c r="F690" s="12" t="s">
        <v>3272</v>
      </c>
      <c r="G690" s="9" t="s">
        <v>3273</v>
      </c>
      <c r="H690" s="9" t="s">
        <v>20</v>
      </c>
      <c r="I690" s="9" t="s">
        <v>2096</v>
      </c>
      <c r="J690" s="14">
        <v>19.0</v>
      </c>
      <c r="K690" s="39"/>
    </row>
    <row r="691">
      <c r="A691" s="17" t="s">
        <v>2091</v>
      </c>
      <c r="C691" s="17" t="s">
        <v>2384</v>
      </c>
      <c r="D691" s="12" t="s">
        <v>2144</v>
      </c>
      <c r="E691" s="9"/>
      <c r="F691" s="12" t="s">
        <v>3274</v>
      </c>
      <c r="G691" s="9"/>
      <c r="H691" s="9" t="s">
        <v>2388</v>
      </c>
      <c r="I691" s="9" t="s">
        <v>2096</v>
      </c>
      <c r="J691" s="14">
        <v>20.0</v>
      </c>
      <c r="K691" s="39"/>
    </row>
    <row r="692">
      <c r="A692" s="17" t="s">
        <v>2091</v>
      </c>
      <c r="C692" s="17" t="s">
        <v>2384</v>
      </c>
      <c r="D692" s="12" t="s">
        <v>2134</v>
      </c>
      <c r="E692" s="9"/>
      <c r="F692" s="12" t="s">
        <v>2135</v>
      </c>
      <c r="G692" s="9" t="s">
        <v>2136</v>
      </c>
      <c r="H692" s="9" t="s">
        <v>39</v>
      </c>
      <c r="I692" s="9" t="s">
        <v>2096</v>
      </c>
      <c r="J692" s="14">
        <v>21.0</v>
      </c>
      <c r="K692" s="39"/>
    </row>
    <row r="693">
      <c r="A693" s="17" t="s">
        <v>2091</v>
      </c>
      <c r="C693" s="17" t="s">
        <v>2384</v>
      </c>
      <c r="D693" s="143" t="s">
        <v>2134</v>
      </c>
      <c r="E693" s="144"/>
      <c r="F693" s="143" t="s">
        <v>3275</v>
      </c>
      <c r="G693" s="144"/>
      <c r="H693" s="144" t="s">
        <v>39</v>
      </c>
      <c r="I693" s="144" t="s">
        <v>2096</v>
      </c>
      <c r="J693" s="138">
        <v>22.0</v>
      </c>
      <c r="K693" s="39"/>
    </row>
    <row r="694">
      <c r="A694" s="17" t="s">
        <v>2091</v>
      </c>
      <c r="C694" s="17" t="s">
        <v>2384</v>
      </c>
      <c r="D694" s="12" t="s">
        <v>3276</v>
      </c>
      <c r="E694" s="9"/>
      <c r="F694" s="12" t="s">
        <v>2392</v>
      </c>
      <c r="G694" s="9" t="s">
        <v>364</v>
      </c>
      <c r="H694" s="9" t="s">
        <v>39</v>
      </c>
      <c r="I694" s="9" t="s">
        <v>2096</v>
      </c>
      <c r="J694" s="14">
        <v>23.0</v>
      </c>
      <c r="K694" s="39"/>
    </row>
    <row r="695">
      <c r="A695" s="69"/>
      <c r="C695" s="69"/>
      <c r="D695" s="96"/>
      <c r="E695" s="67"/>
      <c r="F695" s="96"/>
      <c r="G695" s="67"/>
      <c r="H695" s="67"/>
      <c r="I695" s="67"/>
      <c r="J695" s="67"/>
      <c r="K695" s="67"/>
      <c r="L695" s="67"/>
      <c r="M695" s="67"/>
      <c r="N695" s="67"/>
      <c r="O695" s="67"/>
      <c r="P695" s="67"/>
      <c r="Q695" s="67"/>
      <c r="R695" s="67"/>
      <c r="S695" s="67"/>
      <c r="T695" s="67"/>
      <c r="U695" s="67"/>
      <c r="V695" s="67"/>
      <c r="W695" s="67"/>
      <c r="X695" s="67"/>
      <c r="Y695" s="67"/>
      <c r="Z695" s="67"/>
      <c r="AA695" s="67"/>
      <c r="AB695" s="67"/>
      <c r="AC695" s="67"/>
      <c r="AD695" s="67"/>
      <c r="AE695" s="67"/>
    </row>
    <row r="696">
      <c r="A696" s="1" t="s">
        <v>2147</v>
      </c>
      <c r="C696" s="1" t="s">
        <v>2303</v>
      </c>
      <c r="D696" s="15" t="s">
        <v>2195</v>
      </c>
      <c r="F696" s="15" t="s">
        <v>2196</v>
      </c>
      <c r="H696" s="1" t="s">
        <v>39</v>
      </c>
      <c r="I696" s="1" t="s">
        <v>2188</v>
      </c>
      <c r="J696" s="1">
        <v>1.0</v>
      </c>
      <c r="K696" s="39"/>
      <c r="M696" s="1">
        <v>7.0</v>
      </c>
      <c r="N696" s="8" t="s">
        <v>2148</v>
      </c>
      <c r="O696" s="8" t="s">
        <v>2149</v>
      </c>
      <c r="P696" s="8" t="s">
        <v>2150</v>
      </c>
      <c r="Q696" s="8" t="s">
        <v>2151</v>
      </c>
      <c r="R696" s="1" t="s">
        <v>54</v>
      </c>
      <c r="S696" s="8" t="s">
        <v>2152</v>
      </c>
    </row>
    <row r="697">
      <c r="A697" s="1" t="s">
        <v>2147</v>
      </c>
      <c r="C697" s="1" t="s">
        <v>2303</v>
      </c>
      <c r="D697" s="16" t="s">
        <v>2192</v>
      </c>
      <c r="E697" s="9"/>
      <c r="F697" s="16" t="s">
        <v>2193</v>
      </c>
      <c r="G697" s="9"/>
      <c r="H697" s="14" t="s">
        <v>39</v>
      </c>
      <c r="I697" s="14" t="s">
        <v>2188</v>
      </c>
      <c r="J697" s="14">
        <v>2.0</v>
      </c>
      <c r="K697" s="39"/>
      <c r="M697" s="1">
        <v>8.0</v>
      </c>
      <c r="N697" s="8" t="s">
        <v>2153</v>
      </c>
      <c r="O697" s="8" t="s">
        <v>2154</v>
      </c>
      <c r="P697" s="8" t="s">
        <v>2155</v>
      </c>
      <c r="Q697" s="8" t="s">
        <v>2156</v>
      </c>
      <c r="R697" s="8" t="s">
        <v>14</v>
      </c>
      <c r="S697" s="8" t="s">
        <v>2152</v>
      </c>
    </row>
    <row r="698">
      <c r="A698" s="1" t="s">
        <v>2147</v>
      </c>
      <c r="C698" s="14" t="s">
        <v>2303</v>
      </c>
      <c r="D698" s="16" t="s">
        <v>3277</v>
      </c>
      <c r="E698" s="9"/>
      <c r="F698" s="16" t="s">
        <v>3278</v>
      </c>
      <c r="G698" s="14" t="s">
        <v>3279</v>
      </c>
      <c r="H698" s="14" t="s">
        <v>39</v>
      </c>
      <c r="I698" s="14" t="s">
        <v>2188</v>
      </c>
      <c r="J698" s="14">
        <v>3.0</v>
      </c>
      <c r="K698" s="39"/>
      <c r="M698" s="1">
        <v>9.0</v>
      </c>
      <c r="N698" s="8" t="s">
        <v>2157</v>
      </c>
      <c r="O698" s="8" t="s">
        <v>2158</v>
      </c>
      <c r="P698" s="8" t="s">
        <v>2159</v>
      </c>
      <c r="Q698" s="8" t="s">
        <v>2160</v>
      </c>
      <c r="R698" s="8" t="s">
        <v>20</v>
      </c>
      <c r="S698" s="8" t="s">
        <v>2152</v>
      </c>
    </row>
    <row r="699">
      <c r="A699" s="1" t="s">
        <v>2147</v>
      </c>
      <c r="C699" s="1" t="s">
        <v>2303</v>
      </c>
      <c r="D699" s="16" t="s">
        <v>3280</v>
      </c>
      <c r="E699" s="14" t="s">
        <v>1649</v>
      </c>
      <c r="F699" s="16" t="s">
        <v>3281</v>
      </c>
      <c r="G699" s="14" t="s">
        <v>3282</v>
      </c>
      <c r="H699" s="14" t="s">
        <v>39</v>
      </c>
      <c r="I699" s="14" t="s">
        <v>2188</v>
      </c>
      <c r="J699" s="14">
        <v>4.0</v>
      </c>
      <c r="K699" s="39"/>
      <c r="M699" s="1">
        <v>10.0</v>
      </c>
      <c r="N699" s="8" t="s">
        <v>2157</v>
      </c>
      <c r="O699" s="8" t="s">
        <v>2161</v>
      </c>
      <c r="P699" s="8" t="s">
        <v>2162</v>
      </c>
      <c r="Q699" s="8" t="s">
        <v>2163</v>
      </c>
      <c r="R699" s="8" t="s">
        <v>14</v>
      </c>
      <c r="S699" s="8" t="s">
        <v>2152</v>
      </c>
    </row>
    <row r="700">
      <c r="A700" s="1" t="s">
        <v>2147</v>
      </c>
      <c r="C700" s="1" t="s">
        <v>2303</v>
      </c>
      <c r="D700" s="16" t="s">
        <v>2185</v>
      </c>
      <c r="E700" s="9"/>
      <c r="F700" s="16" t="s">
        <v>2186</v>
      </c>
      <c r="G700" s="9"/>
      <c r="H700" s="14" t="s">
        <v>39</v>
      </c>
      <c r="I700" s="14" t="s">
        <v>2188</v>
      </c>
      <c r="J700" s="14">
        <v>5.0</v>
      </c>
      <c r="K700" s="39"/>
      <c r="M700" s="1">
        <v>11.0</v>
      </c>
      <c r="N700" s="8" t="s">
        <v>2157</v>
      </c>
      <c r="O700" s="8" t="s">
        <v>2164</v>
      </c>
      <c r="P700" s="8" t="s">
        <v>3283</v>
      </c>
      <c r="Q700" s="8" t="s">
        <v>2166</v>
      </c>
      <c r="R700" s="8" t="s">
        <v>14</v>
      </c>
      <c r="S700" s="8" t="s">
        <v>2152</v>
      </c>
    </row>
    <row r="701">
      <c r="A701" s="1" t="s">
        <v>2147</v>
      </c>
      <c r="C701" s="1" t="s">
        <v>2303</v>
      </c>
      <c r="D701" s="16" t="s">
        <v>2185</v>
      </c>
      <c r="E701" s="9"/>
      <c r="F701" s="16" t="s">
        <v>2190</v>
      </c>
      <c r="G701" s="14" t="s">
        <v>3284</v>
      </c>
      <c r="H701" s="14" t="s">
        <v>39</v>
      </c>
      <c r="I701" s="14" t="s">
        <v>2188</v>
      </c>
      <c r="J701" s="14">
        <v>6.0</v>
      </c>
      <c r="K701" s="39"/>
      <c r="M701" s="1">
        <v>12.0</v>
      </c>
      <c r="N701" s="8" t="s">
        <v>2157</v>
      </c>
      <c r="O701" s="8" t="s">
        <v>2167</v>
      </c>
      <c r="P701" s="8" t="s">
        <v>2168</v>
      </c>
      <c r="Q701" s="8" t="s">
        <v>2169</v>
      </c>
      <c r="R701" s="8" t="s">
        <v>14</v>
      </c>
      <c r="S701" s="8" t="s">
        <v>2152</v>
      </c>
    </row>
    <row r="702">
      <c r="A702" s="1" t="s">
        <v>2147</v>
      </c>
      <c r="C702" s="1" t="s">
        <v>2384</v>
      </c>
      <c r="D702" s="12" t="s">
        <v>2148</v>
      </c>
      <c r="E702" s="9" t="s">
        <v>2149</v>
      </c>
      <c r="F702" s="12" t="s">
        <v>2150</v>
      </c>
      <c r="G702" s="9" t="s">
        <v>2151</v>
      </c>
      <c r="H702" s="9" t="s">
        <v>2388</v>
      </c>
      <c r="I702" s="9" t="s">
        <v>2152</v>
      </c>
      <c r="J702" s="14">
        <v>7.0</v>
      </c>
      <c r="K702" s="39"/>
      <c r="M702" s="1">
        <v>13.0</v>
      </c>
      <c r="N702" s="8" t="s">
        <v>2170</v>
      </c>
      <c r="O702" s="1" t="s">
        <v>205</v>
      </c>
      <c r="P702" s="1" t="s">
        <v>2171</v>
      </c>
      <c r="Q702" s="1" t="s">
        <v>2172</v>
      </c>
      <c r="R702" s="1" t="s">
        <v>20</v>
      </c>
      <c r="S702" s="8" t="s">
        <v>2152</v>
      </c>
    </row>
    <row r="703">
      <c r="A703" s="1" t="s">
        <v>2147</v>
      </c>
      <c r="C703" s="1" t="s">
        <v>2384</v>
      </c>
      <c r="D703" s="12" t="s">
        <v>2153</v>
      </c>
      <c r="E703" s="9" t="s">
        <v>2154</v>
      </c>
      <c r="F703" s="12" t="s">
        <v>2155</v>
      </c>
      <c r="G703" s="9" t="s">
        <v>2156</v>
      </c>
      <c r="H703" s="9" t="s">
        <v>14</v>
      </c>
      <c r="I703" s="9" t="s">
        <v>2152</v>
      </c>
      <c r="J703" s="14">
        <v>8.0</v>
      </c>
      <c r="K703" s="39"/>
      <c r="M703" s="1">
        <v>14.0</v>
      </c>
      <c r="N703" s="8" t="s">
        <v>2173</v>
      </c>
      <c r="O703" s="1" t="s">
        <v>503</v>
      </c>
      <c r="P703" s="8" t="s">
        <v>2174</v>
      </c>
      <c r="Q703" s="8" t="s">
        <v>2175</v>
      </c>
      <c r="R703" s="1" t="s">
        <v>54</v>
      </c>
      <c r="S703" s="8" t="s">
        <v>2152</v>
      </c>
    </row>
    <row r="704">
      <c r="A704" s="1" t="s">
        <v>2147</v>
      </c>
      <c r="C704" s="1" t="s">
        <v>2384</v>
      </c>
      <c r="D704" s="12" t="s">
        <v>2157</v>
      </c>
      <c r="E704" s="9" t="s">
        <v>2158</v>
      </c>
      <c r="F704" s="12" t="s">
        <v>2159</v>
      </c>
      <c r="G704" s="9" t="s">
        <v>2160</v>
      </c>
      <c r="H704" s="9" t="s">
        <v>20</v>
      </c>
      <c r="I704" s="9" t="s">
        <v>2152</v>
      </c>
      <c r="J704" s="14">
        <v>9.0</v>
      </c>
      <c r="K704" s="39"/>
      <c r="M704" s="1">
        <v>15.0</v>
      </c>
      <c r="N704" s="8" t="s">
        <v>2173</v>
      </c>
      <c r="P704" s="8" t="s">
        <v>923</v>
      </c>
      <c r="Q704" s="8" t="s">
        <v>585</v>
      </c>
      <c r="R704" s="1" t="s">
        <v>924</v>
      </c>
      <c r="S704" s="8" t="s">
        <v>2152</v>
      </c>
    </row>
    <row r="705">
      <c r="A705" s="1" t="s">
        <v>2147</v>
      </c>
      <c r="C705" s="1" t="s">
        <v>2384</v>
      </c>
      <c r="D705" s="12" t="s">
        <v>2157</v>
      </c>
      <c r="E705" s="9" t="s">
        <v>2161</v>
      </c>
      <c r="F705" s="12" t="s">
        <v>2162</v>
      </c>
      <c r="G705" s="9" t="s">
        <v>2163</v>
      </c>
      <c r="H705" s="9" t="s">
        <v>14</v>
      </c>
      <c r="I705" s="9" t="s">
        <v>2152</v>
      </c>
      <c r="J705" s="14">
        <v>10.0</v>
      </c>
      <c r="K705" s="39"/>
      <c r="M705" s="1" t="s">
        <v>2176</v>
      </c>
      <c r="N705" s="8" t="s">
        <v>2173</v>
      </c>
      <c r="O705" s="1" t="s">
        <v>2177</v>
      </c>
      <c r="P705" s="8" t="s">
        <v>2178</v>
      </c>
      <c r="Q705" s="8" t="s">
        <v>2179</v>
      </c>
      <c r="R705" s="8" t="s">
        <v>39</v>
      </c>
      <c r="S705" s="8" t="s">
        <v>2152</v>
      </c>
    </row>
    <row r="706">
      <c r="A706" s="1" t="s">
        <v>2147</v>
      </c>
      <c r="C706" s="1" t="s">
        <v>2384</v>
      </c>
      <c r="D706" s="12" t="s">
        <v>2157</v>
      </c>
      <c r="E706" s="9" t="s">
        <v>2164</v>
      </c>
      <c r="F706" s="12" t="s">
        <v>3283</v>
      </c>
      <c r="G706" s="9" t="s">
        <v>2166</v>
      </c>
      <c r="H706" s="9" t="s">
        <v>14</v>
      </c>
      <c r="I706" s="9" t="s">
        <v>2152</v>
      </c>
      <c r="J706" s="14">
        <v>11.0</v>
      </c>
      <c r="K706" s="39"/>
      <c r="M706" s="1" t="s">
        <v>2180</v>
      </c>
      <c r="N706" s="8" t="s">
        <v>2181</v>
      </c>
      <c r="O706" s="8" t="s">
        <v>2182</v>
      </c>
      <c r="P706" s="8" t="s">
        <v>2183</v>
      </c>
      <c r="Q706" s="8" t="s">
        <v>2184</v>
      </c>
      <c r="R706" s="8" t="s">
        <v>39</v>
      </c>
      <c r="S706" s="8" t="s">
        <v>2152</v>
      </c>
    </row>
    <row r="707">
      <c r="A707" s="1" t="s">
        <v>2147</v>
      </c>
      <c r="C707" s="1" t="s">
        <v>2384</v>
      </c>
      <c r="D707" s="12" t="s">
        <v>2157</v>
      </c>
      <c r="E707" s="9" t="s">
        <v>2167</v>
      </c>
      <c r="F707" s="12" t="s">
        <v>2168</v>
      </c>
      <c r="G707" s="9" t="s">
        <v>2169</v>
      </c>
      <c r="H707" s="9" t="s">
        <v>14</v>
      </c>
      <c r="I707" s="9" t="s">
        <v>2152</v>
      </c>
      <c r="J707" s="14">
        <v>12.0</v>
      </c>
      <c r="K707" s="39"/>
      <c r="M707" s="1">
        <v>5.0</v>
      </c>
      <c r="N707" s="1" t="s">
        <v>2185</v>
      </c>
      <c r="P707" s="1" t="s">
        <v>2186</v>
      </c>
      <c r="Q707" s="1" t="s">
        <v>2187</v>
      </c>
      <c r="R707" s="1" t="s">
        <v>39</v>
      </c>
      <c r="S707" s="1" t="s">
        <v>2188</v>
      </c>
    </row>
    <row r="708">
      <c r="A708" s="1" t="s">
        <v>2147</v>
      </c>
      <c r="C708" s="1" t="s">
        <v>2384</v>
      </c>
      <c r="D708" s="12" t="s">
        <v>2170</v>
      </c>
      <c r="E708" s="9"/>
      <c r="F708" s="12" t="s">
        <v>3285</v>
      </c>
      <c r="G708" s="9"/>
      <c r="H708" s="9" t="s">
        <v>39</v>
      </c>
      <c r="I708" s="9" t="s">
        <v>2152</v>
      </c>
      <c r="J708" s="14">
        <v>13.0</v>
      </c>
      <c r="K708" s="39"/>
      <c r="M708" s="1">
        <v>6.0</v>
      </c>
      <c r="N708" s="1" t="s">
        <v>2185</v>
      </c>
      <c r="O708" s="1" t="s">
        <v>2189</v>
      </c>
      <c r="P708" s="1" t="s">
        <v>2190</v>
      </c>
      <c r="Q708" s="1" t="s">
        <v>2191</v>
      </c>
      <c r="R708" s="1" t="s">
        <v>39</v>
      </c>
      <c r="S708" s="1" t="s">
        <v>2188</v>
      </c>
    </row>
    <row r="709">
      <c r="A709" s="1" t="s">
        <v>2147</v>
      </c>
      <c r="C709" s="1" t="s">
        <v>2384</v>
      </c>
      <c r="D709" s="12" t="s">
        <v>2173</v>
      </c>
      <c r="E709" s="14" t="s">
        <v>503</v>
      </c>
      <c r="F709" s="12" t="s">
        <v>2174</v>
      </c>
      <c r="G709" s="9" t="s">
        <v>2175</v>
      </c>
      <c r="H709" s="9" t="s">
        <v>39</v>
      </c>
      <c r="I709" s="9" t="s">
        <v>2152</v>
      </c>
      <c r="J709" s="14">
        <v>14.0</v>
      </c>
      <c r="K709" s="39"/>
      <c r="M709" s="1">
        <v>2.0</v>
      </c>
      <c r="N709" s="1" t="s">
        <v>2192</v>
      </c>
      <c r="O709" s="1" t="s">
        <v>503</v>
      </c>
      <c r="P709" s="1" t="s">
        <v>2193</v>
      </c>
      <c r="Q709" s="1" t="s">
        <v>2194</v>
      </c>
      <c r="R709" s="1" t="s">
        <v>39</v>
      </c>
      <c r="S709" s="1" t="s">
        <v>2188</v>
      </c>
    </row>
    <row r="710">
      <c r="A710" s="1" t="s">
        <v>2147</v>
      </c>
      <c r="C710" s="1" t="s">
        <v>2384</v>
      </c>
      <c r="D710" s="12" t="s">
        <v>2173</v>
      </c>
      <c r="E710" s="9"/>
      <c r="F710" s="12" t="s">
        <v>923</v>
      </c>
      <c r="G710" s="9" t="s">
        <v>585</v>
      </c>
      <c r="H710" s="9"/>
      <c r="I710" s="9" t="s">
        <v>2152</v>
      </c>
      <c r="J710" s="14">
        <v>15.0</v>
      </c>
      <c r="K710" s="39"/>
      <c r="M710" s="1">
        <v>1.0</v>
      </c>
      <c r="N710" s="1" t="s">
        <v>2195</v>
      </c>
      <c r="P710" s="1" t="s">
        <v>2196</v>
      </c>
      <c r="Q710" s="1" t="s">
        <v>3286</v>
      </c>
      <c r="R710" s="1" t="s">
        <v>39</v>
      </c>
      <c r="S710" s="1" t="s">
        <v>2188</v>
      </c>
    </row>
    <row r="711">
      <c r="A711" s="1" t="s">
        <v>2147</v>
      </c>
      <c r="C711" s="1" t="s">
        <v>2384</v>
      </c>
      <c r="D711" s="12" t="s">
        <v>2173</v>
      </c>
      <c r="E711" s="9"/>
      <c r="F711" s="12" t="s">
        <v>2178</v>
      </c>
      <c r="G711" s="9" t="s">
        <v>2179</v>
      </c>
      <c r="H711" s="9" t="s">
        <v>39</v>
      </c>
      <c r="I711" s="9" t="s">
        <v>2152</v>
      </c>
      <c r="J711" s="14">
        <v>16.0</v>
      </c>
      <c r="K711" s="39"/>
    </row>
    <row r="712">
      <c r="A712" s="1" t="s">
        <v>2147</v>
      </c>
      <c r="C712" s="1" t="s">
        <v>2384</v>
      </c>
      <c r="D712" s="12" t="s">
        <v>2181</v>
      </c>
      <c r="E712" s="9" t="s">
        <v>2182</v>
      </c>
      <c r="F712" s="12" t="s">
        <v>2183</v>
      </c>
      <c r="G712" s="9" t="s">
        <v>2184</v>
      </c>
      <c r="H712" s="9" t="s">
        <v>39</v>
      </c>
      <c r="I712" s="9" t="s">
        <v>2152</v>
      </c>
      <c r="J712" s="14">
        <v>17.0</v>
      </c>
      <c r="K712" s="39"/>
    </row>
    <row r="713">
      <c r="D713" s="10"/>
      <c r="F713" s="10"/>
      <c r="K713" s="39"/>
    </row>
    <row r="714">
      <c r="A714" s="17"/>
      <c r="D714" s="10"/>
      <c r="F714" s="10"/>
      <c r="K714" s="39"/>
    </row>
    <row r="715" hidden="1">
      <c r="A715" s="75" t="s">
        <v>516</v>
      </c>
      <c r="B715" s="76" t="str">
        <f>VLOOKUP(A715,Assignment!$AB$3:$AC$24,2,FALSE())</f>
        <v>DONE</v>
      </c>
      <c r="C715" s="76"/>
      <c r="J715" s="76"/>
      <c r="K715" s="76"/>
      <c r="L715" s="76"/>
      <c r="M715" s="76"/>
      <c r="N715" s="76"/>
      <c r="O715" s="76"/>
      <c r="P715" s="76"/>
      <c r="Q715" s="76"/>
      <c r="R715" s="76"/>
      <c r="S715" s="76"/>
      <c r="T715" s="76"/>
      <c r="U715" s="76"/>
      <c r="V715" s="76"/>
      <c r="W715" s="76"/>
      <c r="X715" s="76"/>
      <c r="Y715" s="76"/>
      <c r="Z715" s="76"/>
      <c r="AA715" s="76"/>
      <c r="AB715" s="76"/>
      <c r="AC715" s="76"/>
      <c r="AD715" s="76"/>
      <c r="AE715" s="76"/>
    </row>
    <row r="716" hidden="1">
      <c r="A716" s="75" t="s">
        <v>341</v>
      </c>
      <c r="B716" s="76" t="str">
        <f>VLOOKUP(A716,Assignment!$AB$3:$AC$24,2,FALSE())</f>
        <v>DONE</v>
      </c>
      <c r="C716" s="76"/>
      <c r="J716" s="76"/>
      <c r="K716" s="76"/>
      <c r="L716" s="76"/>
      <c r="M716" s="76"/>
      <c r="N716" s="76"/>
      <c r="O716" s="76"/>
      <c r="P716" s="76"/>
      <c r="Q716" s="76"/>
      <c r="R716" s="76"/>
      <c r="S716" s="76"/>
      <c r="T716" s="76"/>
      <c r="U716" s="76"/>
      <c r="V716" s="76"/>
      <c r="W716" s="76"/>
      <c r="X716" s="76"/>
      <c r="Y716" s="76"/>
      <c r="Z716" s="76"/>
      <c r="AA716" s="76"/>
      <c r="AB716" s="76"/>
      <c r="AC716" s="76"/>
      <c r="AD716" s="76"/>
      <c r="AE716" s="76"/>
    </row>
    <row r="717">
      <c r="D717" s="10"/>
      <c r="F717" s="10"/>
      <c r="K717" s="39"/>
    </row>
    <row r="718">
      <c r="D718" s="10"/>
      <c r="F718" s="10"/>
      <c r="K718" s="39"/>
    </row>
    <row r="719">
      <c r="D719" s="10"/>
      <c r="F719" s="10"/>
      <c r="K719" s="39"/>
    </row>
    <row r="720">
      <c r="D720" s="10"/>
      <c r="F720" s="10"/>
      <c r="K720" s="39"/>
    </row>
    <row r="721">
      <c r="D721" s="10"/>
      <c r="F721" s="10"/>
      <c r="K721" s="39"/>
    </row>
    <row r="722">
      <c r="D722" s="10"/>
      <c r="F722" s="10"/>
      <c r="K722" s="39"/>
    </row>
    <row r="723">
      <c r="D723" s="10"/>
      <c r="F723" s="10"/>
      <c r="K723" s="39"/>
    </row>
    <row r="724">
      <c r="D724" s="10"/>
      <c r="F724" s="10"/>
      <c r="K724" s="39"/>
    </row>
    <row r="725">
      <c r="D725" s="10"/>
      <c r="F725" s="10"/>
      <c r="K725" s="39"/>
    </row>
    <row r="726">
      <c r="D726" s="10"/>
      <c r="F726" s="10"/>
      <c r="K726" s="39"/>
    </row>
    <row r="727">
      <c r="D727" s="10"/>
      <c r="F727" s="10"/>
      <c r="K727" s="39"/>
    </row>
    <row r="728">
      <c r="D728" s="10"/>
      <c r="F728" s="10"/>
      <c r="K728" s="39"/>
    </row>
    <row r="729">
      <c r="D729" s="10"/>
      <c r="F729" s="10"/>
      <c r="K729" s="39"/>
    </row>
    <row r="730">
      <c r="D730" s="10"/>
      <c r="F730" s="10"/>
      <c r="K730" s="39"/>
    </row>
    <row r="731">
      <c r="D731" s="10"/>
      <c r="F731" s="10"/>
      <c r="K731" s="39"/>
    </row>
    <row r="732">
      <c r="D732" s="10"/>
      <c r="F732" s="10"/>
      <c r="K732" s="39"/>
    </row>
    <row r="733">
      <c r="D733" s="10"/>
      <c r="F733" s="10"/>
      <c r="K733" s="39"/>
    </row>
    <row r="734">
      <c r="D734" s="10"/>
      <c r="F734" s="10"/>
      <c r="K734" s="39"/>
    </row>
    <row r="735">
      <c r="D735" s="10"/>
      <c r="F735" s="10"/>
      <c r="K735" s="39"/>
    </row>
    <row r="736">
      <c r="D736" s="10"/>
      <c r="F736" s="10"/>
      <c r="K736" s="39"/>
    </row>
    <row r="737">
      <c r="D737" s="10"/>
      <c r="F737" s="10"/>
      <c r="K737" s="39"/>
    </row>
    <row r="738">
      <c r="D738" s="10"/>
      <c r="F738" s="10"/>
      <c r="K738" s="39"/>
    </row>
    <row r="739">
      <c r="D739" s="10"/>
      <c r="F739" s="10"/>
      <c r="K739" s="39"/>
    </row>
    <row r="740">
      <c r="D740" s="10"/>
      <c r="F740" s="10"/>
      <c r="K740" s="39"/>
    </row>
    <row r="741">
      <c r="D741" s="10"/>
      <c r="F741" s="10"/>
      <c r="K741" s="39"/>
    </row>
    <row r="742">
      <c r="D742" s="10"/>
      <c r="F742" s="10"/>
      <c r="K742" s="39"/>
    </row>
    <row r="743">
      <c r="D743" s="10"/>
      <c r="F743" s="10"/>
      <c r="K743" s="39"/>
    </row>
    <row r="744">
      <c r="D744" s="10"/>
      <c r="F744" s="10"/>
      <c r="K744" s="39"/>
    </row>
    <row r="745">
      <c r="D745" s="10"/>
      <c r="F745" s="10"/>
      <c r="K745" s="39"/>
    </row>
    <row r="746">
      <c r="D746" s="10"/>
      <c r="F746" s="10"/>
      <c r="K746" s="39"/>
    </row>
    <row r="747">
      <c r="D747" s="10"/>
      <c r="F747" s="10"/>
      <c r="K747" s="39"/>
    </row>
    <row r="748">
      <c r="D748" s="10"/>
      <c r="F748" s="10"/>
      <c r="K748" s="39"/>
    </row>
    <row r="749">
      <c r="D749" s="10"/>
      <c r="F749" s="10"/>
      <c r="K749" s="39"/>
    </row>
    <row r="750">
      <c r="D750" s="10"/>
      <c r="F750" s="10"/>
      <c r="K750" s="39"/>
    </row>
    <row r="751">
      <c r="D751" s="10"/>
      <c r="F751" s="10"/>
      <c r="K751" s="39"/>
    </row>
    <row r="752">
      <c r="D752" s="10"/>
      <c r="F752" s="10"/>
      <c r="K752" s="39"/>
    </row>
    <row r="753">
      <c r="D753" s="10"/>
      <c r="F753" s="10"/>
      <c r="K753" s="39"/>
    </row>
    <row r="754">
      <c r="D754" s="10"/>
      <c r="F754" s="10"/>
      <c r="K754" s="39"/>
    </row>
    <row r="755">
      <c r="D755" s="10"/>
      <c r="F755" s="10"/>
      <c r="K755" s="39"/>
    </row>
    <row r="756">
      <c r="D756" s="10"/>
      <c r="F756" s="10"/>
      <c r="K756" s="39"/>
    </row>
    <row r="757">
      <c r="D757" s="10"/>
      <c r="F757" s="10"/>
      <c r="K757" s="39"/>
    </row>
    <row r="758">
      <c r="D758" s="10"/>
      <c r="F758" s="10"/>
      <c r="K758" s="39"/>
    </row>
    <row r="759">
      <c r="D759" s="10"/>
      <c r="F759" s="10"/>
      <c r="K759" s="39"/>
    </row>
    <row r="760">
      <c r="D760" s="10"/>
      <c r="F760" s="10"/>
      <c r="K760" s="39"/>
    </row>
    <row r="761">
      <c r="D761" s="10"/>
      <c r="F761" s="10"/>
      <c r="K761" s="39"/>
    </row>
    <row r="762">
      <c r="D762" s="10"/>
      <c r="F762" s="10"/>
      <c r="K762" s="39"/>
    </row>
    <row r="763">
      <c r="D763" s="10"/>
      <c r="F763" s="10"/>
      <c r="K763" s="39"/>
    </row>
    <row r="764">
      <c r="D764" s="10"/>
      <c r="F764" s="10"/>
      <c r="K764" s="39"/>
    </row>
    <row r="765">
      <c r="D765" s="10"/>
      <c r="F765" s="10"/>
      <c r="K765" s="39"/>
    </row>
    <row r="766">
      <c r="D766" s="10"/>
      <c r="F766" s="10"/>
      <c r="K766" s="39"/>
    </row>
    <row r="767">
      <c r="D767" s="10"/>
      <c r="F767" s="10"/>
      <c r="K767" s="39"/>
    </row>
    <row r="768">
      <c r="D768" s="10"/>
      <c r="F768" s="10"/>
      <c r="K768" s="39"/>
    </row>
    <row r="769">
      <c r="D769" s="10"/>
      <c r="F769" s="10"/>
      <c r="K769" s="39"/>
    </row>
    <row r="770">
      <c r="D770" s="10"/>
      <c r="F770" s="10"/>
      <c r="K770" s="39"/>
    </row>
    <row r="771">
      <c r="D771" s="10"/>
      <c r="F771" s="10"/>
      <c r="K771" s="39"/>
    </row>
    <row r="772">
      <c r="D772" s="10"/>
      <c r="F772" s="10"/>
      <c r="K772" s="39"/>
    </row>
    <row r="773">
      <c r="D773" s="10"/>
      <c r="F773" s="10"/>
      <c r="K773" s="39"/>
    </row>
    <row r="774">
      <c r="D774" s="10"/>
      <c r="F774" s="10"/>
      <c r="K774" s="39"/>
    </row>
    <row r="775">
      <c r="D775" s="10"/>
      <c r="F775" s="10"/>
      <c r="K775" s="39"/>
    </row>
    <row r="776">
      <c r="D776" s="10"/>
      <c r="F776" s="10"/>
      <c r="K776" s="39"/>
    </row>
    <row r="777">
      <c r="D777" s="10"/>
      <c r="F777" s="10"/>
      <c r="K777" s="39"/>
    </row>
    <row r="778">
      <c r="D778" s="10"/>
      <c r="F778" s="10"/>
      <c r="K778" s="39"/>
    </row>
    <row r="779">
      <c r="D779" s="10"/>
      <c r="F779" s="10"/>
      <c r="K779" s="39"/>
    </row>
    <row r="780">
      <c r="D780" s="10"/>
      <c r="F780" s="10"/>
      <c r="K780" s="39"/>
    </row>
    <row r="781">
      <c r="D781" s="10"/>
      <c r="F781" s="10"/>
      <c r="K781" s="39"/>
    </row>
    <row r="782">
      <c r="D782" s="10"/>
      <c r="F782" s="10"/>
      <c r="K782" s="39"/>
    </row>
    <row r="783">
      <c r="D783" s="10"/>
      <c r="F783" s="10"/>
      <c r="K783" s="39"/>
    </row>
    <row r="784">
      <c r="D784" s="10"/>
      <c r="F784" s="10"/>
      <c r="K784" s="39"/>
    </row>
    <row r="785">
      <c r="D785" s="10"/>
      <c r="F785" s="10"/>
      <c r="K785" s="39"/>
    </row>
    <row r="786">
      <c r="D786" s="10"/>
      <c r="F786" s="10"/>
      <c r="K786" s="39"/>
    </row>
    <row r="787">
      <c r="D787" s="10"/>
      <c r="F787" s="10"/>
      <c r="K787" s="39"/>
    </row>
    <row r="788">
      <c r="D788" s="10"/>
      <c r="F788" s="10"/>
      <c r="K788" s="39"/>
    </row>
    <row r="789">
      <c r="D789" s="10"/>
      <c r="F789" s="10"/>
      <c r="K789" s="39"/>
    </row>
    <row r="790">
      <c r="D790" s="10"/>
      <c r="F790" s="10"/>
      <c r="K790" s="39"/>
    </row>
    <row r="791">
      <c r="D791" s="10"/>
      <c r="F791" s="10"/>
      <c r="K791" s="39"/>
    </row>
    <row r="792">
      <c r="D792" s="10"/>
      <c r="F792" s="10"/>
      <c r="K792" s="39"/>
    </row>
    <row r="793">
      <c r="D793" s="10"/>
      <c r="F793" s="10"/>
      <c r="K793" s="39"/>
    </row>
    <row r="794">
      <c r="D794" s="10"/>
      <c r="F794" s="10"/>
      <c r="K794" s="39"/>
    </row>
    <row r="795">
      <c r="D795" s="10"/>
      <c r="F795" s="10"/>
      <c r="K795" s="39"/>
    </row>
    <row r="796">
      <c r="D796" s="10"/>
      <c r="F796" s="10"/>
      <c r="K796" s="39"/>
    </row>
    <row r="797">
      <c r="D797" s="10"/>
      <c r="F797" s="10"/>
      <c r="K797" s="39"/>
    </row>
    <row r="798">
      <c r="D798" s="10"/>
      <c r="F798" s="10"/>
      <c r="K798" s="39"/>
    </row>
    <row r="799">
      <c r="D799" s="10"/>
      <c r="F799" s="10"/>
      <c r="K799" s="39"/>
    </row>
    <row r="800">
      <c r="D800" s="10"/>
      <c r="F800" s="10"/>
      <c r="K800" s="39"/>
    </row>
    <row r="801">
      <c r="D801" s="10"/>
      <c r="F801" s="10"/>
      <c r="K801" s="39"/>
    </row>
    <row r="802">
      <c r="D802" s="10"/>
      <c r="F802" s="10"/>
      <c r="K802" s="39"/>
    </row>
    <row r="803">
      <c r="D803" s="10"/>
      <c r="F803" s="10"/>
      <c r="K803" s="39"/>
    </row>
    <row r="804">
      <c r="D804" s="10"/>
      <c r="F804" s="10"/>
      <c r="K804" s="39"/>
    </row>
    <row r="805">
      <c r="D805" s="10"/>
      <c r="F805" s="10"/>
      <c r="K805" s="39"/>
    </row>
    <row r="806">
      <c r="D806" s="10"/>
      <c r="F806" s="10"/>
      <c r="K806" s="39"/>
    </row>
    <row r="807">
      <c r="D807" s="10"/>
      <c r="F807" s="10"/>
      <c r="K807" s="39"/>
    </row>
    <row r="808">
      <c r="D808" s="10"/>
      <c r="F808" s="10"/>
      <c r="K808" s="39"/>
    </row>
    <row r="809">
      <c r="D809" s="10"/>
      <c r="F809" s="10"/>
      <c r="K809" s="39"/>
    </row>
    <row r="810">
      <c r="D810" s="10"/>
      <c r="F810" s="10"/>
      <c r="K810" s="39"/>
    </row>
    <row r="811">
      <c r="D811" s="10"/>
      <c r="F811" s="10"/>
      <c r="K811" s="39"/>
    </row>
    <row r="812">
      <c r="D812" s="10"/>
      <c r="F812" s="10"/>
      <c r="K812" s="39"/>
    </row>
    <row r="813">
      <c r="D813" s="10"/>
      <c r="F813" s="10"/>
      <c r="K813" s="39"/>
    </row>
    <row r="814">
      <c r="D814" s="10"/>
      <c r="F814" s="10"/>
      <c r="K814" s="39"/>
    </row>
    <row r="815">
      <c r="D815" s="10"/>
      <c r="F815" s="10"/>
      <c r="K815" s="39"/>
    </row>
    <row r="816">
      <c r="D816" s="10"/>
      <c r="F816" s="10"/>
      <c r="K816" s="39"/>
    </row>
    <row r="817">
      <c r="D817" s="10"/>
      <c r="F817" s="10"/>
      <c r="K817" s="39"/>
    </row>
    <row r="818">
      <c r="D818" s="10"/>
      <c r="F818" s="10"/>
      <c r="K818" s="39"/>
    </row>
    <row r="819">
      <c r="D819" s="10"/>
      <c r="F819" s="10"/>
      <c r="K819" s="39"/>
    </row>
    <row r="820">
      <c r="D820" s="10"/>
      <c r="F820" s="10"/>
      <c r="K820" s="39"/>
    </row>
    <row r="821">
      <c r="D821" s="10"/>
      <c r="F821" s="10"/>
      <c r="K821" s="39"/>
    </row>
    <row r="822">
      <c r="D822" s="10"/>
      <c r="F822" s="10"/>
      <c r="K822" s="39"/>
    </row>
    <row r="823">
      <c r="D823" s="10"/>
      <c r="F823" s="10"/>
      <c r="K823" s="39"/>
    </row>
    <row r="824">
      <c r="D824" s="10"/>
      <c r="F824" s="10"/>
      <c r="K824" s="39"/>
    </row>
    <row r="825">
      <c r="D825" s="10"/>
      <c r="F825" s="10"/>
      <c r="K825" s="39"/>
    </row>
    <row r="826">
      <c r="D826" s="10"/>
      <c r="F826" s="10"/>
      <c r="K826" s="39"/>
    </row>
    <row r="827">
      <c r="D827" s="10"/>
      <c r="F827" s="10"/>
      <c r="K827" s="39"/>
    </row>
    <row r="828">
      <c r="D828" s="10"/>
      <c r="F828" s="10"/>
      <c r="K828" s="39"/>
    </row>
    <row r="829">
      <c r="D829" s="10"/>
      <c r="F829" s="10"/>
      <c r="K829" s="39"/>
    </row>
    <row r="830">
      <c r="D830" s="10"/>
      <c r="F830" s="10"/>
      <c r="K830" s="39"/>
    </row>
    <row r="831">
      <c r="D831" s="10"/>
      <c r="F831" s="10"/>
      <c r="K831" s="39"/>
    </row>
    <row r="832">
      <c r="D832" s="10"/>
      <c r="F832" s="10"/>
      <c r="K832" s="39"/>
    </row>
    <row r="833">
      <c r="D833" s="10"/>
      <c r="F833" s="10"/>
      <c r="K833" s="39"/>
    </row>
    <row r="834">
      <c r="D834" s="10"/>
      <c r="F834" s="10"/>
      <c r="K834" s="39"/>
    </row>
    <row r="835">
      <c r="D835" s="10"/>
      <c r="F835" s="10"/>
      <c r="K835" s="39"/>
    </row>
    <row r="836">
      <c r="D836" s="10"/>
      <c r="F836" s="10"/>
      <c r="K836" s="39"/>
    </row>
    <row r="837">
      <c r="D837" s="10"/>
      <c r="F837" s="10"/>
      <c r="K837" s="39"/>
    </row>
    <row r="838">
      <c r="D838" s="10"/>
      <c r="F838" s="10"/>
      <c r="K838" s="39"/>
    </row>
    <row r="839">
      <c r="D839" s="10"/>
      <c r="F839" s="10"/>
      <c r="K839" s="39"/>
    </row>
    <row r="840">
      <c r="D840" s="10"/>
      <c r="F840" s="10"/>
      <c r="K840" s="39"/>
    </row>
    <row r="841">
      <c r="D841" s="10"/>
      <c r="F841" s="10"/>
      <c r="K841" s="39"/>
    </row>
    <row r="842">
      <c r="D842" s="10"/>
      <c r="F842" s="10"/>
      <c r="K842" s="39"/>
    </row>
    <row r="843">
      <c r="D843" s="10"/>
      <c r="F843" s="10"/>
      <c r="K843" s="39"/>
    </row>
    <row r="844">
      <c r="D844" s="10"/>
      <c r="F844" s="10"/>
      <c r="K844" s="39"/>
    </row>
    <row r="845">
      <c r="D845" s="10"/>
      <c r="F845" s="10"/>
      <c r="K845" s="39"/>
    </row>
    <row r="846">
      <c r="D846" s="10"/>
      <c r="F846" s="10"/>
      <c r="K846" s="39"/>
    </row>
    <row r="847">
      <c r="D847" s="10"/>
      <c r="F847" s="10"/>
      <c r="K847" s="39"/>
    </row>
    <row r="848">
      <c r="D848" s="10"/>
      <c r="F848" s="10"/>
      <c r="K848" s="39"/>
    </row>
    <row r="849">
      <c r="D849" s="10"/>
      <c r="F849" s="10"/>
      <c r="K849" s="39"/>
    </row>
    <row r="850">
      <c r="D850" s="10"/>
      <c r="F850" s="10"/>
      <c r="K850" s="39"/>
    </row>
    <row r="851">
      <c r="D851" s="10"/>
      <c r="F851" s="10"/>
      <c r="K851" s="39"/>
    </row>
    <row r="852">
      <c r="D852" s="10"/>
      <c r="F852" s="10"/>
      <c r="K852" s="39"/>
    </row>
    <row r="853">
      <c r="D853" s="10"/>
      <c r="F853" s="10"/>
      <c r="K853" s="39"/>
    </row>
    <row r="854">
      <c r="D854" s="10"/>
      <c r="F854" s="10"/>
      <c r="K854" s="39"/>
    </row>
    <row r="855">
      <c r="D855" s="10"/>
      <c r="F855" s="10"/>
      <c r="K855" s="39"/>
    </row>
    <row r="856">
      <c r="D856" s="10"/>
      <c r="F856" s="10"/>
      <c r="K856" s="39"/>
    </row>
    <row r="857">
      <c r="D857" s="10"/>
      <c r="F857" s="10"/>
      <c r="K857" s="39"/>
    </row>
    <row r="858">
      <c r="D858" s="10"/>
      <c r="F858" s="10"/>
      <c r="K858" s="39"/>
    </row>
    <row r="859">
      <c r="D859" s="10"/>
      <c r="F859" s="10"/>
      <c r="K859" s="39"/>
    </row>
    <row r="860">
      <c r="D860" s="10"/>
      <c r="F860" s="10"/>
      <c r="K860" s="39"/>
    </row>
    <row r="861">
      <c r="D861" s="10"/>
      <c r="F861" s="10"/>
      <c r="K861" s="39"/>
    </row>
    <row r="862">
      <c r="D862" s="10"/>
      <c r="F862" s="10"/>
      <c r="K862" s="39"/>
    </row>
    <row r="863">
      <c r="D863" s="10"/>
      <c r="F863" s="10"/>
      <c r="K863" s="39"/>
    </row>
    <row r="864">
      <c r="D864" s="10"/>
      <c r="F864" s="10"/>
      <c r="K864" s="39"/>
    </row>
    <row r="865">
      <c r="D865" s="10"/>
      <c r="F865" s="10"/>
      <c r="K865" s="39"/>
    </row>
    <row r="866">
      <c r="D866" s="10"/>
      <c r="F866" s="10"/>
      <c r="K866" s="39"/>
    </row>
    <row r="867">
      <c r="D867" s="10"/>
      <c r="F867" s="10"/>
      <c r="K867" s="39"/>
    </row>
    <row r="868">
      <c r="D868" s="10"/>
      <c r="F868" s="10"/>
      <c r="K868" s="39"/>
    </row>
    <row r="869">
      <c r="D869" s="10"/>
      <c r="F869" s="10"/>
      <c r="K869" s="39"/>
    </row>
    <row r="870">
      <c r="D870" s="10"/>
      <c r="F870" s="10"/>
      <c r="K870" s="39"/>
    </row>
    <row r="871">
      <c r="D871" s="10"/>
      <c r="F871" s="10"/>
      <c r="K871" s="39"/>
    </row>
    <row r="872">
      <c r="D872" s="10"/>
      <c r="F872" s="10"/>
      <c r="K872" s="39"/>
    </row>
    <row r="873">
      <c r="D873" s="10"/>
      <c r="F873" s="10"/>
      <c r="K873" s="39"/>
    </row>
    <row r="874">
      <c r="D874" s="10"/>
      <c r="F874" s="10"/>
      <c r="K874" s="39"/>
    </row>
    <row r="875">
      <c r="D875" s="10"/>
      <c r="F875" s="10"/>
      <c r="K875" s="39"/>
    </row>
    <row r="876">
      <c r="D876" s="10"/>
      <c r="F876" s="10"/>
      <c r="K876" s="39"/>
    </row>
    <row r="877">
      <c r="D877" s="10"/>
      <c r="F877" s="10"/>
      <c r="K877" s="39"/>
    </row>
    <row r="878">
      <c r="D878" s="10"/>
      <c r="F878" s="10"/>
      <c r="K878" s="39"/>
    </row>
    <row r="879">
      <c r="D879" s="10"/>
      <c r="F879" s="10"/>
      <c r="K879" s="39"/>
    </row>
    <row r="880">
      <c r="D880" s="10"/>
      <c r="F880" s="10"/>
      <c r="K880" s="39"/>
    </row>
    <row r="881">
      <c r="D881" s="10"/>
      <c r="F881" s="10"/>
      <c r="K881" s="39"/>
    </row>
    <row r="882">
      <c r="D882" s="10"/>
      <c r="F882" s="10"/>
      <c r="K882" s="39"/>
    </row>
    <row r="883">
      <c r="D883" s="10"/>
      <c r="F883" s="10"/>
      <c r="K883" s="39"/>
    </row>
    <row r="884">
      <c r="D884" s="10"/>
      <c r="F884" s="10"/>
      <c r="K884" s="39"/>
    </row>
    <row r="885">
      <c r="D885" s="10"/>
      <c r="F885" s="10"/>
      <c r="K885" s="39"/>
    </row>
    <row r="886">
      <c r="D886" s="10"/>
      <c r="F886" s="10"/>
      <c r="K886" s="39"/>
    </row>
    <row r="887">
      <c r="D887" s="10"/>
      <c r="F887" s="10"/>
      <c r="K887" s="39"/>
    </row>
    <row r="888">
      <c r="D888" s="10"/>
      <c r="F888" s="10"/>
      <c r="K888" s="39"/>
    </row>
    <row r="889">
      <c r="D889" s="10"/>
      <c r="F889" s="10"/>
      <c r="K889" s="39"/>
    </row>
    <row r="890">
      <c r="D890" s="10"/>
      <c r="F890" s="10"/>
      <c r="K890" s="39"/>
    </row>
    <row r="891">
      <c r="D891" s="10"/>
      <c r="F891" s="10"/>
      <c r="K891" s="39"/>
    </row>
    <row r="892">
      <c r="D892" s="10"/>
      <c r="F892" s="10"/>
      <c r="K892" s="39"/>
    </row>
    <row r="893">
      <c r="D893" s="10"/>
      <c r="F893" s="10"/>
      <c r="K893" s="39"/>
    </row>
    <row r="894">
      <c r="D894" s="10"/>
      <c r="F894" s="10"/>
      <c r="K894" s="39"/>
    </row>
    <row r="895">
      <c r="D895" s="10"/>
      <c r="F895" s="10"/>
      <c r="K895" s="39"/>
    </row>
    <row r="896">
      <c r="D896" s="10"/>
      <c r="F896" s="10"/>
      <c r="K896" s="39"/>
    </row>
    <row r="897">
      <c r="D897" s="10"/>
      <c r="F897" s="10"/>
      <c r="K897" s="39"/>
    </row>
    <row r="898">
      <c r="D898" s="10"/>
      <c r="F898" s="10"/>
      <c r="K898" s="39"/>
    </row>
    <row r="899">
      <c r="D899" s="10"/>
      <c r="F899" s="10"/>
      <c r="K899" s="39"/>
    </row>
    <row r="900">
      <c r="D900" s="10"/>
      <c r="F900" s="10"/>
      <c r="K900" s="39"/>
    </row>
    <row r="901">
      <c r="D901" s="10"/>
      <c r="F901" s="10"/>
      <c r="K901" s="39"/>
    </row>
    <row r="902">
      <c r="D902" s="10"/>
      <c r="F902" s="10"/>
      <c r="K902" s="39"/>
    </row>
    <row r="903">
      <c r="D903" s="10"/>
      <c r="F903" s="10"/>
      <c r="K903" s="39"/>
    </row>
    <row r="904">
      <c r="D904" s="10"/>
      <c r="F904" s="10"/>
      <c r="K904" s="39"/>
    </row>
    <row r="905">
      <c r="D905" s="10"/>
      <c r="F905" s="10"/>
      <c r="K905" s="39"/>
    </row>
    <row r="906">
      <c r="D906" s="10"/>
      <c r="F906" s="10"/>
      <c r="K906" s="39"/>
    </row>
    <row r="907">
      <c r="D907" s="10"/>
      <c r="F907" s="10"/>
      <c r="K907" s="39"/>
    </row>
    <row r="908">
      <c r="D908" s="10"/>
      <c r="F908" s="10"/>
      <c r="K908" s="39"/>
    </row>
    <row r="909">
      <c r="D909" s="10"/>
      <c r="F909" s="10"/>
      <c r="K909" s="39"/>
    </row>
    <row r="910">
      <c r="D910" s="10"/>
      <c r="F910" s="10"/>
      <c r="K910" s="39"/>
    </row>
    <row r="911">
      <c r="D911" s="10"/>
      <c r="F911" s="10"/>
      <c r="K911" s="39"/>
    </row>
    <row r="912">
      <c r="D912" s="10"/>
      <c r="F912" s="10"/>
      <c r="K912" s="39"/>
    </row>
    <row r="913">
      <c r="D913" s="10"/>
      <c r="F913" s="10"/>
      <c r="K913" s="39"/>
    </row>
    <row r="914">
      <c r="D914" s="10"/>
      <c r="F914" s="10"/>
      <c r="K914" s="39"/>
    </row>
    <row r="915">
      <c r="D915" s="10"/>
      <c r="F915" s="10"/>
      <c r="K915" s="39"/>
    </row>
    <row r="916">
      <c r="D916" s="10"/>
      <c r="F916" s="10"/>
      <c r="K916" s="39"/>
    </row>
    <row r="917">
      <c r="D917" s="10"/>
      <c r="F917" s="10"/>
      <c r="K917" s="39"/>
    </row>
    <row r="918">
      <c r="D918" s="10"/>
      <c r="F918" s="10"/>
      <c r="K918" s="39"/>
    </row>
    <row r="919">
      <c r="D919" s="10"/>
      <c r="F919" s="10"/>
      <c r="K919" s="39"/>
    </row>
    <row r="920">
      <c r="D920" s="10"/>
      <c r="F920" s="10"/>
      <c r="K920" s="39"/>
    </row>
    <row r="921">
      <c r="D921" s="10"/>
      <c r="F921" s="10"/>
      <c r="K921" s="39"/>
    </row>
    <row r="922">
      <c r="D922" s="10"/>
      <c r="F922" s="10"/>
      <c r="K922" s="39"/>
    </row>
    <row r="923">
      <c r="D923" s="10"/>
      <c r="F923" s="10"/>
      <c r="K923" s="39"/>
    </row>
    <row r="924">
      <c r="D924" s="10"/>
      <c r="F924" s="10"/>
      <c r="K924" s="39"/>
    </row>
    <row r="925">
      <c r="D925" s="10"/>
      <c r="F925" s="10"/>
      <c r="K925" s="39"/>
    </row>
    <row r="926">
      <c r="D926" s="10"/>
      <c r="F926" s="10"/>
      <c r="K926" s="39"/>
    </row>
    <row r="927">
      <c r="D927" s="10"/>
      <c r="F927" s="10"/>
      <c r="K927" s="39"/>
    </row>
    <row r="928">
      <c r="D928" s="10"/>
      <c r="F928" s="10"/>
      <c r="K928" s="39"/>
    </row>
    <row r="929">
      <c r="D929" s="10"/>
      <c r="F929" s="10"/>
      <c r="K929" s="39"/>
    </row>
    <row r="930">
      <c r="D930" s="10"/>
      <c r="F930" s="10"/>
      <c r="K930" s="39"/>
    </row>
    <row r="931">
      <c r="D931" s="10"/>
      <c r="F931" s="10"/>
      <c r="K931" s="39"/>
    </row>
    <row r="932">
      <c r="D932" s="10"/>
      <c r="F932" s="10"/>
      <c r="K932" s="39"/>
    </row>
    <row r="933">
      <c r="D933" s="10"/>
      <c r="F933" s="10"/>
      <c r="K933" s="39"/>
    </row>
    <row r="934">
      <c r="D934" s="10"/>
      <c r="F934" s="10"/>
      <c r="K934" s="39"/>
    </row>
    <row r="935">
      <c r="D935" s="10"/>
      <c r="F935" s="10"/>
      <c r="K935" s="39"/>
    </row>
    <row r="936">
      <c r="D936" s="10"/>
      <c r="F936" s="10"/>
      <c r="K936" s="39"/>
    </row>
    <row r="937">
      <c r="D937" s="10"/>
      <c r="F937" s="10"/>
      <c r="K937" s="39"/>
    </row>
    <row r="938">
      <c r="D938" s="10"/>
      <c r="F938" s="10"/>
      <c r="K938" s="39"/>
    </row>
    <row r="939">
      <c r="D939" s="10"/>
      <c r="F939" s="10"/>
      <c r="K939" s="39"/>
    </row>
    <row r="940">
      <c r="D940" s="10"/>
      <c r="F940" s="10"/>
      <c r="K940" s="39"/>
    </row>
    <row r="941">
      <c r="D941" s="10"/>
      <c r="F941" s="10"/>
      <c r="K941" s="39"/>
    </row>
    <row r="942">
      <c r="D942" s="10"/>
      <c r="F942" s="10"/>
      <c r="K942" s="39"/>
    </row>
    <row r="943">
      <c r="D943" s="10"/>
      <c r="F943" s="10"/>
      <c r="K943" s="39"/>
    </row>
    <row r="944">
      <c r="D944" s="10"/>
      <c r="F944" s="10"/>
      <c r="K944" s="39"/>
    </row>
    <row r="945">
      <c r="D945" s="10"/>
      <c r="F945" s="10"/>
      <c r="K945" s="39"/>
    </row>
    <row r="946">
      <c r="D946" s="10"/>
      <c r="F946" s="10"/>
      <c r="K946" s="39"/>
    </row>
    <row r="947">
      <c r="D947" s="10"/>
      <c r="F947" s="10"/>
      <c r="K947" s="39"/>
    </row>
    <row r="948">
      <c r="D948" s="10"/>
      <c r="F948" s="10"/>
      <c r="K948" s="39"/>
    </row>
    <row r="949">
      <c r="D949" s="10"/>
      <c r="F949" s="10"/>
      <c r="K949" s="39"/>
    </row>
    <row r="950">
      <c r="D950" s="10"/>
      <c r="F950" s="10"/>
      <c r="K950" s="39"/>
    </row>
    <row r="951">
      <c r="D951" s="10"/>
      <c r="F951" s="10"/>
      <c r="K951" s="39"/>
    </row>
    <row r="952">
      <c r="D952" s="10"/>
      <c r="F952" s="10"/>
      <c r="K952" s="39"/>
    </row>
    <row r="953">
      <c r="D953" s="10"/>
      <c r="F953" s="10"/>
      <c r="K953" s="39"/>
    </row>
    <row r="954">
      <c r="D954" s="10"/>
      <c r="F954" s="10"/>
      <c r="K954" s="39"/>
    </row>
    <row r="955">
      <c r="D955" s="10"/>
      <c r="F955" s="10"/>
      <c r="K955" s="39"/>
    </row>
    <row r="956">
      <c r="D956" s="10"/>
      <c r="F956" s="10"/>
      <c r="K956" s="39"/>
    </row>
    <row r="957">
      <c r="D957" s="10"/>
      <c r="F957" s="10"/>
      <c r="K957" s="39"/>
    </row>
    <row r="958">
      <c r="D958" s="10"/>
      <c r="F958" s="10"/>
      <c r="K958" s="39"/>
    </row>
    <row r="959">
      <c r="D959" s="10"/>
      <c r="F959" s="10"/>
      <c r="K959" s="39"/>
    </row>
    <row r="960">
      <c r="D960" s="10"/>
      <c r="F960" s="10"/>
      <c r="K960" s="39"/>
    </row>
    <row r="961">
      <c r="D961" s="10"/>
      <c r="F961" s="10"/>
      <c r="K961" s="39"/>
    </row>
    <row r="962">
      <c r="D962" s="10"/>
      <c r="F962" s="10"/>
      <c r="K962" s="39"/>
    </row>
    <row r="963">
      <c r="D963" s="10"/>
      <c r="F963" s="10"/>
      <c r="K963" s="39"/>
    </row>
    <row r="964">
      <c r="D964" s="10"/>
      <c r="F964" s="10"/>
      <c r="K964" s="39"/>
    </row>
    <row r="965">
      <c r="D965" s="10"/>
      <c r="F965" s="10"/>
      <c r="K965" s="39"/>
    </row>
    <row r="966">
      <c r="D966" s="10"/>
      <c r="F966" s="10"/>
      <c r="K966" s="39"/>
    </row>
    <row r="967">
      <c r="D967" s="10"/>
      <c r="F967" s="10"/>
      <c r="K967" s="39"/>
    </row>
    <row r="968">
      <c r="D968" s="10"/>
      <c r="F968" s="10"/>
      <c r="K968" s="39"/>
    </row>
    <row r="969">
      <c r="D969" s="10"/>
      <c r="F969" s="10"/>
      <c r="K969" s="39"/>
    </row>
    <row r="970">
      <c r="D970" s="10"/>
      <c r="F970" s="10"/>
      <c r="K970" s="39"/>
    </row>
    <row r="971">
      <c r="D971" s="10"/>
      <c r="F971" s="10"/>
      <c r="K971" s="39"/>
    </row>
    <row r="972">
      <c r="D972" s="10"/>
      <c r="F972" s="10"/>
      <c r="K972" s="39"/>
    </row>
    <row r="973">
      <c r="D973" s="10"/>
      <c r="F973" s="10"/>
      <c r="K973" s="39"/>
    </row>
    <row r="974">
      <c r="D974" s="10"/>
      <c r="F974" s="10"/>
      <c r="K974" s="39"/>
    </row>
    <row r="975">
      <c r="D975" s="10"/>
      <c r="F975" s="10"/>
      <c r="K975" s="39"/>
    </row>
    <row r="976">
      <c r="D976" s="10"/>
      <c r="F976" s="10"/>
      <c r="K976" s="39"/>
    </row>
    <row r="977">
      <c r="D977" s="10"/>
      <c r="F977" s="10"/>
      <c r="K977" s="39"/>
    </row>
    <row r="978">
      <c r="D978" s="10"/>
      <c r="F978" s="10"/>
      <c r="K978" s="39"/>
    </row>
    <row r="979">
      <c r="D979" s="10"/>
      <c r="F979" s="10"/>
      <c r="K979" s="39"/>
    </row>
    <row r="980">
      <c r="D980" s="10"/>
      <c r="F980" s="10"/>
      <c r="K980" s="39"/>
    </row>
    <row r="981">
      <c r="D981" s="10"/>
      <c r="F981" s="10"/>
      <c r="K981" s="39"/>
    </row>
    <row r="982">
      <c r="D982" s="10"/>
      <c r="F982" s="10"/>
      <c r="K982" s="39"/>
    </row>
    <row r="983">
      <c r="D983" s="10"/>
      <c r="F983" s="10"/>
      <c r="K983" s="39"/>
    </row>
    <row r="984">
      <c r="D984" s="10"/>
      <c r="F984" s="10"/>
      <c r="K984" s="39"/>
    </row>
    <row r="985">
      <c r="D985" s="10"/>
      <c r="F985" s="10"/>
      <c r="K985" s="39"/>
    </row>
    <row r="986">
      <c r="D986" s="10"/>
      <c r="F986" s="10"/>
      <c r="K986" s="39"/>
    </row>
    <row r="987">
      <c r="D987" s="10"/>
      <c r="F987" s="10"/>
      <c r="K987" s="39"/>
    </row>
    <row r="988">
      <c r="D988" s="10"/>
      <c r="F988" s="10"/>
      <c r="K988" s="39"/>
    </row>
    <row r="989">
      <c r="D989" s="10"/>
      <c r="F989" s="10"/>
      <c r="K989" s="39"/>
    </row>
    <row r="990">
      <c r="D990" s="10"/>
      <c r="F990" s="10"/>
      <c r="K990" s="39"/>
    </row>
    <row r="991">
      <c r="D991" s="10"/>
      <c r="F991" s="10"/>
      <c r="K991" s="39"/>
    </row>
    <row r="992">
      <c r="D992" s="10"/>
      <c r="F992" s="10"/>
      <c r="K992" s="39"/>
    </row>
    <row r="993">
      <c r="D993" s="10"/>
      <c r="F993" s="10"/>
      <c r="K993" s="39"/>
    </row>
    <row r="994">
      <c r="D994" s="10"/>
      <c r="F994" s="10"/>
      <c r="K994" s="39"/>
    </row>
    <row r="995">
      <c r="D995" s="10"/>
      <c r="F995" s="10"/>
      <c r="K995" s="39"/>
    </row>
    <row r="996">
      <c r="D996" s="10"/>
      <c r="F996" s="10"/>
      <c r="K996" s="39"/>
    </row>
    <row r="997">
      <c r="D997" s="10"/>
      <c r="F997" s="10"/>
      <c r="K997" s="39"/>
    </row>
    <row r="998">
      <c r="D998" s="10"/>
      <c r="F998" s="10"/>
      <c r="K998" s="39"/>
    </row>
    <row r="999">
      <c r="D999" s="10"/>
      <c r="F999" s="10"/>
      <c r="K999" s="39"/>
    </row>
    <row r="1000">
      <c r="D1000" s="10"/>
      <c r="F1000" s="10"/>
      <c r="K1000" s="39"/>
    </row>
    <row r="1001">
      <c r="D1001" s="10"/>
      <c r="F1001" s="10"/>
      <c r="K1001" s="39"/>
    </row>
    <row r="1002">
      <c r="D1002" s="10"/>
      <c r="F1002" s="10"/>
      <c r="K1002" s="39"/>
    </row>
    <row r="1003">
      <c r="D1003" s="10"/>
      <c r="F1003" s="10"/>
      <c r="K1003" s="39"/>
    </row>
    <row r="1004">
      <c r="D1004" s="10"/>
      <c r="F1004" s="10"/>
      <c r="K1004" s="39"/>
    </row>
    <row r="1005">
      <c r="D1005" s="10"/>
      <c r="F1005" s="10"/>
      <c r="K1005" s="39"/>
    </row>
    <row r="1006">
      <c r="D1006" s="10"/>
      <c r="F1006" s="10"/>
      <c r="K1006" s="39"/>
    </row>
    <row r="1007">
      <c r="D1007" s="10"/>
      <c r="F1007" s="10"/>
      <c r="K1007" s="39"/>
    </row>
    <row r="1008">
      <c r="D1008" s="10"/>
      <c r="F1008" s="10"/>
      <c r="K1008" s="39"/>
    </row>
    <row r="1009">
      <c r="D1009" s="10"/>
      <c r="F1009" s="10"/>
      <c r="K1009" s="39"/>
    </row>
    <row r="1010">
      <c r="D1010" s="10"/>
      <c r="F1010" s="10"/>
      <c r="K1010" s="39"/>
    </row>
    <row r="1011">
      <c r="D1011" s="10"/>
      <c r="F1011" s="10"/>
      <c r="K1011" s="39"/>
    </row>
    <row r="1012">
      <c r="D1012" s="10"/>
      <c r="F1012" s="10"/>
      <c r="K1012" s="39"/>
    </row>
    <row r="1013">
      <c r="D1013" s="10"/>
      <c r="F1013" s="10"/>
      <c r="K1013" s="39"/>
    </row>
    <row r="1014">
      <c r="D1014" s="10"/>
      <c r="F1014" s="10"/>
      <c r="K1014" s="39"/>
    </row>
    <row r="1015">
      <c r="D1015" s="10"/>
      <c r="F1015" s="10"/>
      <c r="K1015" s="39"/>
    </row>
    <row r="1016">
      <c r="D1016" s="10"/>
      <c r="F1016" s="10"/>
      <c r="K1016" s="39"/>
    </row>
    <row r="1017">
      <c r="D1017" s="10"/>
      <c r="F1017" s="10"/>
      <c r="K1017" s="39"/>
    </row>
    <row r="1018">
      <c r="D1018" s="10"/>
      <c r="F1018" s="10"/>
      <c r="K1018" s="39"/>
    </row>
    <row r="1019">
      <c r="D1019" s="10"/>
      <c r="F1019" s="10"/>
      <c r="K1019" s="39"/>
    </row>
    <row r="1020">
      <c r="D1020" s="10"/>
      <c r="F1020" s="10"/>
      <c r="K1020" s="39"/>
    </row>
    <row r="1021">
      <c r="D1021" s="10"/>
      <c r="F1021" s="10"/>
      <c r="K1021" s="39"/>
    </row>
    <row r="1022">
      <c r="D1022" s="10"/>
      <c r="F1022" s="10"/>
      <c r="K1022" s="39"/>
    </row>
    <row r="1023">
      <c r="D1023" s="10"/>
      <c r="F1023" s="10"/>
      <c r="K1023" s="39"/>
    </row>
    <row r="1024">
      <c r="D1024" s="10"/>
      <c r="F1024" s="10"/>
      <c r="K1024" s="39"/>
    </row>
    <row r="1025">
      <c r="D1025" s="10"/>
      <c r="F1025" s="10"/>
      <c r="K1025" s="39"/>
    </row>
    <row r="1026">
      <c r="D1026" s="10"/>
      <c r="F1026" s="10"/>
      <c r="K1026" s="39"/>
    </row>
    <row r="1027">
      <c r="D1027" s="10"/>
      <c r="F1027" s="10"/>
      <c r="K1027" s="39"/>
    </row>
    <row r="1028">
      <c r="D1028" s="10"/>
      <c r="F1028" s="10"/>
      <c r="K1028" s="39"/>
    </row>
    <row r="1029">
      <c r="D1029" s="10"/>
      <c r="F1029" s="10"/>
      <c r="K1029" s="39"/>
    </row>
    <row r="1030">
      <c r="D1030" s="10"/>
      <c r="F1030" s="10"/>
      <c r="K1030" s="39"/>
    </row>
    <row r="1031">
      <c r="D1031" s="10"/>
      <c r="F1031" s="10"/>
      <c r="K1031" s="39"/>
    </row>
    <row r="1032">
      <c r="D1032" s="10"/>
      <c r="F1032" s="10"/>
      <c r="K1032" s="39"/>
    </row>
    <row r="1033">
      <c r="D1033" s="10"/>
      <c r="F1033" s="10"/>
      <c r="K1033" s="39"/>
    </row>
    <row r="1034">
      <c r="D1034" s="10"/>
      <c r="F1034" s="10"/>
      <c r="K1034" s="39"/>
    </row>
    <row r="1035">
      <c r="D1035" s="10"/>
      <c r="F1035" s="10"/>
      <c r="K1035" s="39"/>
    </row>
    <row r="1036">
      <c r="D1036" s="10"/>
      <c r="F1036" s="10"/>
      <c r="K1036" s="39"/>
    </row>
    <row r="1037">
      <c r="D1037" s="10"/>
      <c r="F1037" s="10"/>
      <c r="K1037" s="39"/>
    </row>
    <row r="1038">
      <c r="D1038" s="10"/>
      <c r="F1038" s="10"/>
      <c r="K1038" s="39"/>
    </row>
    <row r="1039">
      <c r="D1039" s="10"/>
      <c r="F1039" s="10"/>
      <c r="K1039" s="39"/>
    </row>
    <row r="1040">
      <c r="D1040" s="10"/>
      <c r="F1040" s="10"/>
      <c r="K1040" s="39"/>
    </row>
    <row r="1041">
      <c r="D1041" s="10"/>
      <c r="F1041" s="10"/>
      <c r="K1041" s="39"/>
    </row>
    <row r="1042">
      <c r="D1042" s="10"/>
      <c r="F1042" s="10"/>
      <c r="K1042" s="39"/>
    </row>
    <row r="1043">
      <c r="D1043" s="10"/>
      <c r="F1043" s="10"/>
      <c r="K1043" s="39"/>
    </row>
    <row r="1044">
      <c r="D1044" s="10"/>
      <c r="F1044" s="10"/>
      <c r="K1044" s="39"/>
    </row>
    <row r="1045">
      <c r="D1045" s="10"/>
      <c r="F1045" s="10"/>
      <c r="K1045" s="39"/>
    </row>
    <row r="1046">
      <c r="D1046" s="10"/>
      <c r="F1046" s="10"/>
      <c r="K1046" s="39"/>
    </row>
    <row r="1047">
      <c r="D1047" s="10"/>
      <c r="F1047" s="10"/>
      <c r="K1047" s="39"/>
    </row>
    <row r="1048">
      <c r="D1048" s="10"/>
      <c r="F1048" s="10"/>
      <c r="K1048" s="39"/>
    </row>
    <row r="1049">
      <c r="D1049" s="10"/>
      <c r="F1049" s="10"/>
      <c r="K1049" s="39"/>
    </row>
    <row r="1050">
      <c r="D1050" s="10"/>
      <c r="F1050" s="10"/>
      <c r="K1050" s="39"/>
    </row>
    <row r="1051">
      <c r="D1051" s="10"/>
      <c r="F1051" s="10"/>
      <c r="K1051" s="39"/>
    </row>
    <row r="1052">
      <c r="D1052" s="10"/>
      <c r="F1052" s="10"/>
      <c r="K1052" s="39"/>
    </row>
    <row r="1053">
      <c r="D1053" s="10"/>
      <c r="F1053" s="10"/>
      <c r="K1053" s="39"/>
    </row>
    <row r="1054">
      <c r="D1054" s="10"/>
      <c r="F1054" s="10"/>
      <c r="K1054" s="39"/>
    </row>
    <row r="1055">
      <c r="D1055" s="10"/>
      <c r="F1055" s="10"/>
      <c r="K1055" s="39"/>
    </row>
    <row r="1056">
      <c r="D1056" s="10"/>
      <c r="F1056" s="10"/>
      <c r="K1056" s="39"/>
    </row>
    <row r="1057">
      <c r="D1057" s="10"/>
      <c r="F1057" s="10"/>
      <c r="K1057" s="39"/>
    </row>
    <row r="1058">
      <c r="D1058" s="10"/>
      <c r="F1058" s="10"/>
      <c r="K1058" s="39"/>
    </row>
    <row r="1059">
      <c r="D1059" s="10"/>
      <c r="F1059" s="10"/>
      <c r="K1059" s="39"/>
    </row>
    <row r="1060">
      <c r="D1060" s="10"/>
      <c r="F1060" s="10"/>
      <c r="K1060" s="39"/>
    </row>
    <row r="1061">
      <c r="D1061" s="10"/>
      <c r="F1061" s="10"/>
      <c r="K1061" s="39"/>
    </row>
    <row r="1062">
      <c r="D1062" s="10"/>
      <c r="F1062" s="10"/>
      <c r="K1062" s="39"/>
    </row>
    <row r="1063">
      <c r="D1063" s="10"/>
      <c r="F1063" s="10"/>
      <c r="K1063" s="39"/>
    </row>
    <row r="1064">
      <c r="D1064" s="10"/>
      <c r="F1064" s="10"/>
      <c r="K1064" s="39"/>
    </row>
    <row r="1065">
      <c r="D1065" s="10"/>
      <c r="F1065" s="10"/>
      <c r="K1065" s="39"/>
    </row>
    <row r="1066">
      <c r="D1066" s="10"/>
      <c r="F1066" s="10"/>
      <c r="K1066" s="39"/>
    </row>
    <row r="1067">
      <c r="D1067" s="10"/>
      <c r="F1067" s="10"/>
      <c r="K1067" s="39"/>
    </row>
    <row r="1068">
      <c r="D1068" s="10"/>
      <c r="F1068" s="10"/>
      <c r="K1068" s="39"/>
    </row>
    <row r="1069">
      <c r="D1069" s="10"/>
      <c r="F1069" s="10"/>
      <c r="K1069" s="39"/>
    </row>
    <row r="1070">
      <c r="D1070" s="10"/>
      <c r="F1070" s="10"/>
      <c r="K1070" s="39"/>
    </row>
    <row r="1071">
      <c r="D1071" s="10"/>
      <c r="F1071" s="10"/>
      <c r="K1071" s="39"/>
    </row>
    <row r="1072">
      <c r="D1072" s="10"/>
      <c r="F1072" s="10"/>
      <c r="K1072" s="39"/>
    </row>
    <row r="1073">
      <c r="D1073" s="10"/>
      <c r="F1073" s="10"/>
      <c r="K1073" s="39"/>
    </row>
    <row r="1074">
      <c r="D1074" s="10"/>
      <c r="F1074" s="10"/>
      <c r="K1074" s="39"/>
    </row>
    <row r="1075">
      <c r="D1075" s="10"/>
      <c r="F1075" s="10"/>
      <c r="K1075" s="39"/>
    </row>
    <row r="1076">
      <c r="D1076" s="10"/>
      <c r="F1076" s="10"/>
      <c r="K1076" s="39"/>
    </row>
    <row r="1077">
      <c r="D1077" s="10"/>
      <c r="F1077" s="10"/>
      <c r="K1077" s="39"/>
    </row>
    <row r="1078">
      <c r="D1078" s="10"/>
      <c r="F1078" s="10"/>
      <c r="K1078" s="39"/>
    </row>
    <row r="1079">
      <c r="D1079" s="10"/>
      <c r="F1079" s="10"/>
      <c r="K1079" s="39"/>
    </row>
    <row r="1080">
      <c r="D1080" s="10"/>
      <c r="F1080" s="10"/>
      <c r="K1080" s="39"/>
    </row>
    <row r="1081">
      <c r="D1081" s="10"/>
      <c r="F1081" s="10"/>
      <c r="K1081" s="39"/>
    </row>
    <row r="1082">
      <c r="D1082" s="10"/>
      <c r="F1082" s="10"/>
      <c r="K1082" s="39"/>
    </row>
    <row r="1083">
      <c r="D1083" s="10"/>
      <c r="F1083" s="10"/>
      <c r="K1083" s="39"/>
    </row>
    <row r="1084">
      <c r="D1084" s="10"/>
      <c r="F1084" s="10"/>
      <c r="K1084" s="39"/>
    </row>
    <row r="1085">
      <c r="D1085" s="10"/>
      <c r="F1085" s="10"/>
      <c r="K1085" s="39"/>
    </row>
    <row r="1086">
      <c r="D1086" s="10"/>
      <c r="F1086" s="10"/>
      <c r="K1086" s="39"/>
    </row>
    <row r="1087">
      <c r="D1087" s="10"/>
      <c r="F1087" s="10"/>
      <c r="K1087" s="39"/>
    </row>
    <row r="1088">
      <c r="D1088" s="10"/>
      <c r="F1088" s="10"/>
      <c r="K1088" s="39"/>
    </row>
    <row r="1089">
      <c r="D1089" s="10"/>
      <c r="F1089" s="10"/>
      <c r="K1089" s="39"/>
    </row>
    <row r="1090">
      <c r="D1090" s="10"/>
      <c r="F1090" s="10"/>
      <c r="K1090" s="39"/>
    </row>
    <row r="1091">
      <c r="D1091" s="10"/>
      <c r="F1091" s="10"/>
      <c r="K1091" s="39"/>
    </row>
    <row r="1092">
      <c r="D1092" s="10"/>
      <c r="F1092" s="10"/>
      <c r="K1092" s="39"/>
    </row>
    <row r="1093">
      <c r="D1093" s="10"/>
      <c r="F1093" s="10"/>
      <c r="K1093" s="39"/>
    </row>
    <row r="1094">
      <c r="D1094" s="10"/>
      <c r="F1094" s="10"/>
      <c r="K1094" s="39"/>
    </row>
    <row r="1095">
      <c r="D1095" s="10"/>
      <c r="F1095" s="10"/>
      <c r="K1095" s="39"/>
    </row>
    <row r="1096">
      <c r="D1096" s="10"/>
      <c r="F1096" s="10"/>
      <c r="K1096" s="39"/>
    </row>
    <row r="1097">
      <c r="D1097" s="10"/>
      <c r="F1097" s="10"/>
      <c r="K1097" s="39"/>
    </row>
    <row r="1098">
      <c r="D1098" s="10"/>
      <c r="F1098" s="10"/>
      <c r="K1098" s="39"/>
    </row>
    <row r="1099">
      <c r="D1099" s="10"/>
      <c r="F1099" s="10"/>
      <c r="K1099" s="39"/>
    </row>
    <row r="1100">
      <c r="D1100" s="10"/>
      <c r="F1100" s="10"/>
      <c r="K1100" s="39"/>
    </row>
    <row r="1101">
      <c r="D1101" s="10"/>
      <c r="F1101" s="10"/>
      <c r="K1101" s="39"/>
    </row>
    <row r="1102">
      <c r="D1102" s="10"/>
      <c r="F1102" s="10"/>
      <c r="K1102" s="39"/>
    </row>
    <row r="1103">
      <c r="D1103" s="10"/>
      <c r="F1103" s="10"/>
      <c r="K1103" s="39"/>
    </row>
    <row r="1104">
      <c r="D1104" s="10"/>
      <c r="F1104" s="10"/>
      <c r="K1104" s="39"/>
    </row>
    <row r="1105">
      <c r="D1105" s="10"/>
      <c r="F1105" s="10"/>
      <c r="K1105" s="39"/>
    </row>
    <row r="1106">
      <c r="D1106" s="10"/>
      <c r="F1106" s="10"/>
      <c r="K1106" s="39"/>
    </row>
    <row r="1107">
      <c r="D1107" s="10"/>
      <c r="F1107" s="10"/>
      <c r="K1107" s="39"/>
    </row>
    <row r="1108">
      <c r="D1108" s="10"/>
      <c r="F1108" s="10"/>
      <c r="K1108" s="39"/>
    </row>
    <row r="1109">
      <c r="D1109" s="10"/>
      <c r="F1109" s="10"/>
      <c r="K1109" s="39"/>
    </row>
    <row r="1110">
      <c r="D1110" s="10"/>
      <c r="F1110" s="10"/>
      <c r="K1110" s="39"/>
    </row>
    <row r="1111">
      <c r="D1111" s="10"/>
      <c r="F1111" s="10"/>
      <c r="K1111" s="39"/>
    </row>
    <row r="1112">
      <c r="D1112" s="10"/>
      <c r="F1112" s="10"/>
      <c r="K1112" s="39"/>
    </row>
    <row r="1113">
      <c r="D1113" s="10"/>
      <c r="F1113" s="10"/>
      <c r="K1113" s="39"/>
    </row>
    <row r="1114">
      <c r="D1114" s="10"/>
      <c r="F1114" s="10"/>
      <c r="K1114" s="39"/>
    </row>
    <row r="1115">
      <c r="D1115" s="10"/>
      <c r="F1115" s="10"/>
      <c r="K1115" s="39"/>
    </row>
    <row r="1116">
      <c r="D1116" s="10"/>
      <c r="F1116" s="10"/>
      <c r="K1116" s="39"/>
    </row>
    <row r="1117">
      <c r="D1117" s="10"/>
      <c r="F1117" s="10"/>
      <c r="K1117" s="39"/>
    </row>
    <row r="1118">
      <c r="D1118" s="10"/>
      <c r="F1118" s="10"/>
      <c r="K1118" s="39"/>
    </row>
    <row r="1119">
      <c r="D1119" s="10"/>
      <c r="F1119" s="10"/>
      <c r="K1119" s="39"/>
    </row>
    <row r="1120">
      <c r="D1120" s="10"/>
      <c r="F1120" s="10"/>
      <c r="K1120" s="39"/>
    </row>
    <row r="1121">
      <c r="D1121" s="10"/>
      <c r="F1121" s="10"/>
      <c r="K1121" s="39"/>
    </row>
    <row r="1122">
      <c r="D1122" s="10"/>
      <c r="F1122" s="10"/>
      <c r="K1122" s="39"/>
    </row>
    <row r="1123">
      <c r="D1123" s="10"/>
      <c r="F1123" s="10"/>
      <c r="K1123" s="39"/>
    </row>
    <row r="1124">
      <c r="D1124" s="10"/>
      <c r="F1124" s="10"/>
      <c r="K1124" s="39"/>
    </row>
    <row r="1125">
      <c r="D1125" s="10"/>
      <c r="F1125" s="10"/>
      <c r="K1125" s="39"/>
    </row>
    <row r="1126">
      <c r="D1126" s="10"/>
      <c r="F1126" s="10"/>
      <c r="K1126" s="39"/>
    </row>
    <row r="1127">
      <c r="D1127" s="10"/>
      <c r="F1127" s="10"/>
      <c r="K1127" s="39"/>
    </row>
    <row r="1128">
      <c r="D1128" s="10"/>
      <c r="F1128" s="10"/>
      <c r="K1128" s="39"/>
    </row>
    <row r="1129">
      <c r="D1129" s="10"/>
      <c r="F1129" s="10"/>
      <c r="K1129" s="39"/>
    </row>
    <row r="1130">
      <c r="D1130" s="10"/>
      <c r="F1130" s="10"/>
      <c r="K1130" s="39"/>
    </row>
    <row r="1131">
      <c r="D1131" s="10"/>
      <c r="F1131" s="10"/>
      <c r="K1131" s="39"/>
    </row>
    <row r="1132">
      <c r="D1132" s="10"/>
      <c r="F1132" s="10"/>
      <c r="K1132" s="39"/>
    </row>
    <row r="1133">
      <c r="D1133" s="10"/>
      <c r="F1133" s="10"/>
      <c r="K1133" s="39"/>
    </row>
    <row r="1134">
      <c r="D1134" s="10"/>
      <c r="F1134" s="10"/>
      <c r="K1134" s="39"/>
    </row>
    <row r="1135">
      <c r="D1135" s="10"/>
      <c r="F1135" s="10"/>
      <c r="K1135" s="39"/>
    </row>
    <row r="1136">
      <c r="D1136" s="10"/>
      <c r="F1136" s="10"/>
      <c r="K1136" s="39"/>
    </row>
    <row r="1137">
      <c r="D1137" s="10"/>
      <c r="F1137" s="10"/>
      <c r="K1137" s="39"/>
    </row>
    <row r="1138">
      <c r="D1138" s="10"/>
      <c r="F1138" s="10"/>
      <c r="K1138" s="39"/>
    </row>
    <row r="1139">
      <c r="D1139" s="10"/>
      <c r="F1139" s="10"/>
      <c r="K1139" s="39"/>
    </row>
    <row r="1140">
      <c r="D1140" s="10"/>
      <c r="F1140" s="10"/>
      <c r="K1140" s="39"/>
    </row>
    <row r="1141">
      <c r="D1141" s="10"/>
      <c r="F1141" s="10"/>
      <c r="K1141" s="39"/>
    </row>
    <row r="1142">
      <c r="D1142" s="10"/>
      <c r="F1142" s="10"/>
      <c r="K1142" s="39"/>
    </row>
    <row r="1143">
      <c r="D1143" s="10"/>
      <c r="F1143" s="10"/>
      <c r="K1143" s="39"/>
    </row>
    <row r="1144">
      <c r="D1144" s="10"/>
      <c r="F1144" s="10"/>
      <c r="K1144" s="39"/>
    </row>
    <row r="1145">
      <c r="D1145" s="10"/>
      <c r="F1145" s="10"/>
      <c r="K1145" s="39"/>
    </row>
    <row r="1146">
      <c r="D1146" s="10"/>
      <c r="F1146" s="10"/>
      <c r="K1146" s="39"/>
    </row>
    <row r="1147">
      <c r="D1147" s="10"/>
      <c r="F1147" s="10"/>
      <c r="K1147" s="39"/>
    </row>
    <row r="1148">
      <c r="D1148" s="10"/>
      <c r="F1148" s="10"/>
      <c r="K1148" s="39"/>
    </row>
    <row r="1149">
      <c r="D1149" s="10"/>
      <c r="F1149" s="10"/>
      <c r="K1149" s="39"/>
    </row>
    <row r="1150">
      <c r="D1150" s="10"/>
      <c r="F1150" s="10"/>
      <c r="K1150" s="39"/>
    </row>
    <row r="1151">
      <c r="D1151" s="10"/>
      <c r="F1151" s="10"/>
      <c r="K1151" s="39"/>
    </row>
    <row r="1152">
      <c r="D1152" s="10"/>
      <c r="F1152" s="10"/>
      <c r="K1152" s="39"/>
    </row>
    <row r="1153">
      <c r="D1153" s="10"/>
      <c r="F1153" s="10"/>
      <c r="K1153" s="39"/>
    </row>
    <row r="1154">
      <c r="D1154" s="10"/>
      <c r="F1154" s="10"/>
      <c r="K1154" s="39"/>
    </row>
    <row r="1155">
      <c r="D1155" s="10"/>
      <c r="F1155" s="10"/>
      <c r="K1155" s="39"/>
    </row>
    <row r="1156">
      <c r="D1156" s="10"/>
      <c r="F1156" s="10"/>
      <c r="K1156" s="39"/>
    </row>
    <row r="1157">
      <c r="D1157" s="10"/>
      <c r="F1157" s="10"/>
      <c r="K1157" s="39"/>
    </row>
    <row r="1158">
      <c r="D1158" s="10"/>
      <c r="F1158" s="10"/>
      <c r="K1158" s="39"/>
    </row>
    <row r="1159">
      <c r="D1159" s="10"/>
      <c r="F1159" s="10"/>
      <c r="K1159" s="39"/>
    </row>
    <row r="1160">
      <c r="D1160" s="10"/>
      <c r="F1160" s="10"/>
      <c r="K1160" s="39"/>
    </row>
    <row r="1161">
      <c r="D1161" s="10"/>
      <c r="F1161" s="10"/>
      <c r="K1161" s="39"/>
    </row>
    <row r="1162">
      <c r="D1162" s="10"/>
      <c r="F1162" s="10"/>
      <c r="K1162" s="39"/>
    </row>
    <row r="1163">
      <c r="D1163" s="10"/>
      <c r="F1163" s="10"/>
      <c r="K1163" s="39"/>
    </row>
    <row r="1164">
      <c r="D1164" s="10"/>
      <c r="F1164" s="10"/>
      <c r="K1164" s="39"/>
    </row>
    <row r="1165">
      <c r="D1165" s="10"/>
      <c r="F1165" s="10"/>
      <c r="K1165" s="39"/>
    </row>
    <row r="1166">
      <c r="D1166" s="10"/>
      <c r="F1166" s="10"/>
      <c r="K1166" s="39"/>
    </row>
    <row r="1167">
      <c r="D1167" s="10"/>
      <c r="F1167" s="10"/>
      <c r="K1167" s="39"/>
    </row>
    <row r="1168">
      <c r="D1168" s="10"/>
      <c r="F1168" s="10"/>
      <c r="K1168" s="39"/>
    </row>
    <row r="1169">
      <c r="D1169" s="10"/>
      <c r="F1169" s="10"/>
      <c r="K1169" s="39"/>
    </row>
    <row r="1170">
      <c r="D1170" s="10"/>
      <c r="F1170" s="10"/>
      <c r="K1170" s="39"/>
    </row>
    <row r="1171">
      <c r="D1171" s="10"/>
      <c r="F1171" s="10"/>
      <c r="K1171" s="39"/>
    </row>
    <row r="1172">
      <c r="D1172" s="10"/>
      <c r="F1172" s="10"/>
      <c r="K1172" s="39"/>
    </row>
    <row r="1173">
      <c r="D1173" s="10"/>
      <c r="F1173" s="10"/>
      <c r="K1173" s="39"/>
    </row>
    <row r="1174">
      <c r="D1174" s="10"/>
      <c r="F1174" s="10"/>
      <c r="K1174" s="39"/>
    </row>
    <row r="1175">
      <c r="D1175" s="10"/>
      <c r="F1175" s="10"/>
      <c r="K1175" s="39"/>
    </row>
    <row r="1176">
      <c r="D1176" s="10"/>
      <c r="F1176" s="10"/>
      <c r="K1176" s="39"/>
    </row>
    <row r="1177">
      <c r="D1177" s="10"/>
      <c r="F1177" s="10"/>
      <c r="K1177" s="39"/>
    </row>
    <row r="1178">
      <c r="D1178" s="10"/>
      <c r="F1178" s="10"/>
      <c r="K1178" s="39"/>
    </row>
    <row r="1179">
      <c r="D1179" s="10"/>
      <c r="F1179" s="10"/>
      <c r="K1179" s="39"/>
    </row>
    <row r="1180">
      <c r="D1180" s="10"/>
      <c r="F1180" s="10"/>
      <c r="K1180" s="39"/>
    </row>
    <row r="1181">
      <c r="D1181" s="10"/>
      <c r="F1181" s="10"/>
      <c r="K1181" s="39"/>
    </row>
    <row r="1182">
      <c r="D1182" s="10"/>
      <c r="F1182" s="10"/>
      <c r="K1182" s="39"/>
    </row>
    <row r="1183">
      <c r="D1183" s="10"/>
      <c r="F1183" s="10"/>
      <c r="K1183" s="39"/>
    </row>
    <row r="1184">
      <c r="D1184" s="10"/>
      <c r="F1184" s="10"/>
      <c r="K1184" s="39"/>
    </row>
    <row r="1185">
      <c r="D1185" s="10"/>
      <c r="F1185" s="10"/>
      <c r="K1185" s="39"/>
    </row>
    <row r="1186">
      <c r="D1186" s="10"/>
      <c r="F1186" s="10"/>
      <c r="K1186" s="39"/>
    </row>
    <row r="1187">
      <c r="D1187" s="10"/>
      <c r="F1187" s="10"/>
      <c r="K1187" s="39"/>
    </row>
    <row r="1188">
      <c r="D1188" s="10"/>
      <c r="F1188" s="10"/>
      <c r="K1188" s="39"/>
    </row>
    <row r="1189">
      <c r="D1189" s="10"/>
      <c r="F1189" s="10"/>
      <c r="K1189" s="39"/>
    </row>
    <row r="1190">
      <c r="D1190" s="10"/>
      <c r="F1190" s="10"/>
      <c r="K1190" s="39"/>
    </row>
    <row r="1191">
      <c r="D1191" s="10"/>
      <c r="F1191" s="10"/>
      <c r="K1191" s="39"/>
    </row>
    <row r="1192">
      <c r="D1192" s="10"/>
      <c r="F1192" s="10"/>
      <c r="K1192" s="39"/>
    </row>
    <row r="1193">
      <c r="D1193" s="10"/>
      <c r="F1193" s="10"/>
      <c r="K1193" s="39"/>
    </row>
    <row r="1194">
      <c r="D1194" s="10"/>
      <c r="F1194" s="10"/>
      <c r="K1194" s="39"/>
    </row>
    <row r="1195">
      <c r="D1195" s="10"/>
      <c r="F1195" s="10"/>
      <c r="K1195" s="39"/>
    </row>
    <row r="1196">
      <c r="D1196" s="10"/>
      <c r="F1196" s="10"/>
      <c r="K1196" s="39"/>
    </row>
    <row r="1197">
      <c r="D1197" s="10"/>
      <c r="F1197" s="10"/>
      <c r="K1197" s="39"/>
    </row>
    <row r="1198">
      <c r="D1198" s="10"/>
      <c r="F1198" s="10"/>
      <c r="K1198" s="39"/>
    </row>
    <row r="1199">
      <c r="D1199" s="10"/>
      <c r="F1199" s="10"/>
      <c r="K1199" s="39"/>
    </row>
    <row r="1200">
      <c r="D1200" s="10"/>
      <c r="F1200" s="10"/>
      <c r="K1200" s="39"/>
    </row>
    <row r="1201">
      <c r="D1201" s="10"/>
      <c r="F1201" s="10"/>
      <c r="K1201" s="39"/>
    </row>
    <row r="1202">
      <c r="D1202" s="10"/>
      <c r="F1202" s="10"/>
      <c r="K1202" s="39"/>
    </row>
    <row r="1203">
      <c r="D1203" s="10"/>
      <c r="F1203" s="10"/>
      <c r="K1203" s="39"/>
    </row>
    <row r="1204">
      <c r="D1204" s="10"/>
      <c r="F1204" s="10"/>
      <c r="K1204" s="39"/>
    </row>
    <row r="1205">
      <c r="D1205" s="10"/>
      <c r="F1205" s="10"/>
      <c r="K1205" s="39"/>
    </row>
    <row r="1206">
      <c r="D1206" s="10"/>
      <c r="F1206" s="10"/>
      <c r="K1206" s="39"/>
    </row>
    <row r="1207">
      <c r="D1207" s="10"/>
      <c r="F1207" s="10"/>
      <c r="K1207" s="39"/>
    </row>
    <row r="1208">
      <c r="D1208" s="10"/>
      <c r="F1208" s="10"/>
      <c r="K1208" s="39"/>
    </row>
    <row r="1209">
      <c r="D1209" s="10"/>
      <c r="F1209" s="10"/>
      <c r="K1209" s="39"/>
    </row>
    <row r="1210">
      <c r="D1210" s="10"/>
      <c r="F1210" s="10"/>
      <c r="K1210" s="39"/>
    </row>
    <row r="1211">
      <c r="D1211" s="10"/>
      <c r="F1211" s="10"/>
      <c r="K1211" s="39"/>
    </row>
    <row r="1212">
      <c r="D1212" s="10"/>
      <c r="F1212" s="10"/>
      <c r="K1212" s="39"/>
    </row>
    <row r="1213">
      <c r="D1213" s="10"/>
      <c r="F1213" s="10"/>
      <c r="K1213" s="39"/>
    </row>
    <row r="1214">
      <c r="D1214" s="10"/>
      <c r="F1214" s="10"/>
      <c r="K1214" s="39"/>
    </row>
    <row r="1215">
      <c r="D1215" s="10"/>
      <c r="F1215" s="10"/>
      <c r="K1215" s="39"/>
    </row>
    <row r="1216">
      <c r="D1216" s="10"/>
      <c r="F1216" s="10"/>
      <c r="K1216" s="39"/>
    </row>
    <row r="1217">
      <c r="D1217" s="10"/>
      <c r="F1217" s="10"/>
      <c r="K1217" s="39"/>
    </row>
    <row r="1218">
      <c r="D1218" s="10"/>
      <c r="F1218" s="10"/>
      <c r="K1218" s="39"/>
    </row>
    <row r="1219">
      <c r="D1219" s="10"/>
      <c r="F1219" s="10"/>
      <c r="K1219" s="39"/>
    </row>
    <row r="1220">
      <c r="D1220" s="10"/>
      <c r="F1220" s="10"/>
      <c r="K1220" s="39"/>
    </row>
    <row r="1221">
      <c r="D1221" s="10"/>
      <c r="F1221" s="10"/>
      <c r="K1221" s="39"/>
    </row>
    <row r="1222">
      <c r="D1222" s="10"/>
      <c r="F1222" s="10"/>
      <c r="K1222" s="39"/>
    </row>
    <row r="1223">
      <c r="D1223" s="10"/>
      <c r="F1223" s="10"/>
      <c r="K1223" s="39"/>
    </row>
    <row r="1224">
      <c r="D1224" s="10"/>
      <c r="F1224" s="10"/>
      <c r="K1224" s="39"/>
    </row>
    <row r="1225">
      <c r="D1225" s="10"/>
      <c r="F1225" s="10"/>
      <c r="K1225" s="39"/>
    </row>
    <row r="1226">
      <c r="D1226" s="10"/>
      <c r="F1226" s="10"/>
      <c r="K1226" s="39"/>
    </row>
    <row r="1227">
      <c r="D1227" s="10"/>
      <c r="F1227" s="10"/>
      <c r="K1227" s="39"/>
    </row>
    <row r="1228">
      <c r="D1228" s="10"/>
      <c r="F1228" s="10"/>
      <c r="K1228" s="39"/>
    </row>
    <row r="1229">
      <c r="D1229" s="10"/>
      <c r="F1229" s="10"/>
      <c r="K1229" s="39"/>
    </row>
    <row r="1230">
      <c r="D1230" s="10"/>
      <c r="F1230" s="10"/>
      <c r="K1230" s="39"/>
    </row>
    <row r="1231">
      <c r="D1231" s="10"/>
      <c r="F1231" s="10"/>
      <c r="K1231" s="39"/>
    </row>
    <row r="1232">
      <c r="D1232" s="10"/>
      <c r="F1232" s="10"/>
      <c r="K1232" s="39"/>
    </row>
    <row r="1233">
      <c r="D1233" s="10"/>
      <c r="F1233" s="10"/>
      <c r="K1233" s="39"/>
    </row>
    <row r="1234">
      <c r="D1234" s="10"/>
      <c r="F1234" s="10"/>
      <c r="K1234" s="39"/>
    </row>
    <row r="1235">
      <c r="D1235" s="10"/>
      <c r="F1235" s="10"/>
      <c r="K1235" s="39"/>
    </row>
    <row r="1236">
      <c r="D1236" s="10"/>
      <c r="F1236" s="10"/>
      <c r="K1236" s="39"/>
    </row>
    <row r="1237">
      <c r="D1237" s="10"/>
      <c r="F1237" s="10"/>
      <c r="K1237" s="39"/>
    </row>
    <row r="1238">
      <c r="D1238" s="10"/>
      <c r="F1238" s="10"/>
      <c r="K1238" s="39"/>
    </row>
    <row r="1239">
      <c r="D1239" s="10"/>
      <c r="F1239" s="10"/>
      <c r="K1239" s="39"/>
    </row>
    <row r="1240">
      <c r="D1240" s="10"/>
      <c r="F1240" s="10"/>
      <c r="K1240" s="39"/>
    </row>
    <row r="1241">
      <c r="D1241" s="10"/>
      <c r="F1241" s="10"/>
      <c r="K1241" s="39"/>
    </row>
    <row r="1242">
      <c r="D1242" s="10"/>
      <c r="F1242" s="10"/>
      <c r="K1242" s="39"/>
    </row>
    <row r="1243">
      <c r="D1243" s="10"/>
      <c r="F1243" s="10"/>
      <c r="K1243" s="39"/>
    </row>
    <row r="1244">
      <c r="D1244" s="10"/>
      <c r="F1244" s="10"/>
      <c r="K1244" s="39"/>
    </row>
    <row r="1245">
      <c r="D1245" s="10"/>
      <c r="F1245" s="10"/>
      <c r="K1245" s="39"/>
    </row>
    <row r="1246">
      <c r="D1246" s="10"/>
      <c r="F1246" s="10"/>
      <c r="K1246" s="39"/>
    </row>
    <row r="1247">
      <c r="D1247" s="10"/>
      <c r="F1247" s="10"/>
      <c r="K1247" s="39"/>
    </row>
    <row r="1248">
      <c r="D1248" s="10"/>
      <c r="F1248" s="10"/>
      <c r="K1248" s="39"/>
    </row>
    <row r="1249">
      <c r="D1249" s="10"/>
      <c r="F1249" s="10"/>
      <c r="K1249" s="39"/>
    </row>
    <row r="1250">
      <c r="D1250" s="10"/>
      <c r="F1250" s="10"/>
      <c r="K1250" s="39"/>
    </row>
    <row r="1251">
      <c r="D1251" s="10"/>
      <c r="F1251" s="10"/>
      <c r="K1251" s="39"/>
    </row>
    <row r="1252">
      <c r="D1252" s="10"/>
      <c r="F1252" s="10"/>
      <c r="K1252" s="39"/>
    </row>
    <row r="1253">
      <c r="D1253" s="10"/>
      <c r="F1253" s="10"/>
      <c r="K1253" s="39"/>
    </row>
    <row r="1254">
      <c r="D1254" s="10"/>
      <c r="F1254" s="10"/>
      <c r="K1254" s="39"/>
    </row>
    <row r="1255">
      <c r="D1255" s="10"/>
      <c r="F1255" s="10"/>
      <c r="K1255" s="39"/>
    </row>
    <row r="1256">
      <c r="D1256" s="10"/>
      <c r="F1256" s="10"/>
      <c r="K1256" s="39"/>
    </row>
    <row r="1257">
      <c r="D1257" s="10"/>
      <c r="F1257" s="10"/>
      <c r="K1257" s="39"/>
    </row>
    <row r="1258">
      <c r="D1258" s="10"/>
      <c r="F1258" s="10"/>
      <c r="K1258" s="39"/>
    </row>
    <row r="1259">
      <c r="D1259" s="10"/>
      <c r="F1259" s="10"/>
      <c r="K1259" s="39"/>
    </row>
    <row r="1260">
      <c r="D1260" s="10"/>
      <c r="F1260" s="10"/>
      <c r="K1260" s="39"/>
    </row>
    <row r="1261">
      <c r="D1261" s="10"/>
      <c r="F1261" s="10"/>
      <c r="K1261" s="39"/>
    </row>
    <row r="1262">
      <c r="D1262" s="10"/>
      <c r="F1262" s="10"/>
      <c r="K1262" s="39"/>
    </row>
    <row r="1263">
      <c r="D1263" s="10"/>
      <c r="F1263" s="10"/>
      <c r="K1263" s="39"/>
    </row>
    <row r="1264">
      <c r="D1264" s="10"/>
      <c r="F1264" s="10"/>
      <c r="K1264" s="39"/>
    </row>
    <row r="1265">
      <c r="D1265" s="10"/>
      <c r="F1265" s="10"/>
      <c r="K1265" s="39"/>
    </row>
    <row r="1266">
      <c r="D1266" s="10"/>
      <c r="F1266" s="10"/>
      <c r="K1266" s="39"/>
    </row>
    <row r="1267">
      <c r="D1267" s="10"/>
      <c r="F1267" s="10"/>
      <c r="K1267" s="39"/>
    </row>
    <row r="1268">
      <c r="D1268" s="10"/>
      <c r="F1268" s="10"/>
      <c r="K1268" s="39"/>
    </row>
    <row r="1269">
      <c r="D1269" s="10"/>
      <c r="F1269" s="10"/>
      <c r="K1269" s="39"/>
    </row>
    <row r="1270">
      <c r="D1270" s="10"/>
      <c r="F1270" s="10"/>
      <c r="K1270" s="39"/>
    </row>
    <row r="1271">
      <c r="D1271" s="10"/>
      <c r="F1271" s="10"/>
      <c r="K1271" s="39"/>
    </row>
    <row r="1272">
      <c r="D1272" s="10"/>
      <c r="F1272" s="10"/>
      <c r="K1272" s="39"/>
    </row>
    <row r="1273">
      <c r="D1273" s="10"/>
      <c r="F1273" s="10"/>
      <c r="K1273" s="39"/>
    </row>
    <row r="1274">
      <c r="D1274" s="10"/>
      <c r="F1274" s="10"/>
      <c r="K1274" s="39"/>
    </row>
    <row r="1275">
      <c r="D1275" s="10"/>
      <c r="F1275" s="10"/>
      <c r="K1275" s="39"/>
    </row>
    <row r="1276">
      <c r="D1276" s="10"/>
      <c r="F1276" s="10"/>
      <c r="K1276" s="39"/>
    </row>
    <row r="1277">
      <c r="D1277" s="10"/>
      <c r="F1277" s="10"/>
      <c r="K1277" s="39"/>
    </row>
    <row r="1278">
      <c r="D1278" s="10"/>
      <c r="F1278" s="10"/>
      <c r="K1278" s="39"/>
    </row>
    <row r="1279">
      <c r="D1279" s="10"/>
      <c r="F1279" s="10"/>
      <c r="K1279" s="39"/>
    </row>
    <row r="1280">
      <c r="D1280" s="10"/>
      <c r="F1280" s="10"/>
      <c r="K1280" s="39"/>
    </row>
    <row r="1281">
      <c r="D1281" s="10"/>
      <c r="F1281" s="10"/>
      <c r="K1281" s="39"/>
    </row>
    <row r="1282">
      <c r="D1282" s="10"/>
      <c r="F1282" s="10"/>
      <c r="K1282" s="39"/>
    </row>
    <row r="1283">
      <c r="D1283" s="10"/>
      <c r="F1283" s="10"/>
      <c r="K1283" s="39"/>
    </row>
    <row r="1284">
      <c r="D1284" s="10"/>
      <c r="F1284" s="10"/>
      <c r="K1284" s="39"/>
    </row>
    <row r="1285">
      <c r="D1285" s="10"/>
      <c r="F1285" s="10"/>
      <c r="K1285" s="39"/>
    </row>
    <row r="1286">
      <c r="D1286" s="10"/>
      <c r="F1286" s="10"/>
      <c r="K1286" s="39"/>
    </row>
    <row r="1287">
      <c r="D1287" s="10"/>
      <c r="F1287" s="10"/>
      <c r="K1287" s="39"/>
    </row>
    <row r="1288">
      <c r="D1288" s="10"/>
      <c r="F1288" s="10"/>
      <c r="K1288" s="39"/>
    </row>
    <row r="1289">
      <c r="D1289" s="10"/>
      <c r="F1289" s="10"/>
      <c r="K1289" s="39"/>
    </row>
    <row r="1290">
      <c r="D1290" s="10"/>
      <c r="F1290" s="10"/>
      <c r="K1290" s="39"/>
    </row>
    <row r="1291">
      <c r="D1291" s="10"/>
      <c r="F1291" s="10"/>
      <c r="K1291" s="39"/>
    </row>
    <row r="1292">
      <c r="D1292" s="10"/>
      <c r="F1292" s="10"/>
      <c r="K1292" s="39"/>
    </row>
    <row r="1293">
      <c r="D1293" s="10"/>
      <c r="F1293" s="10"/>
      <c r="K1293" s="39"/>
    </row>
    <row r="1294">
      <c r="D1294" s="10"/>
      <c r="F1294" s="10"/>
      <c r="K1294" s="39"/>
    </row>
    <row r="1295">
      <c r="D1295" s="10"/>
      <c r="F1295" s="10"/>
      <c r="K1295" s="39"/>
    </row>
    <row r="1296">
      <c r="D1296" s="10"/>
      <c r="F1296" s="10"/>
      <c r="K1296" s="39"/>
    </row>
    <row r="1297">
      <c r="D1297" s="10"/>
      <c r="F1297" s="10"/>
      <c r="K1297" s="39"/>
    </row>
    <row r="1298">
      <c r="D1298" s="10"/>
      <c r="F1298" s="10"/>
      <c r="K1298" s="39"/>
    </row>
    <row r="1299">
      <c r="D1299" s="10"/>
      <c r="F1299" s="10"/>
      <c r="K1299" s="39"/>
    </row>
    <row r="1300">
      <c r="D1300" s="10"/>
      <c r="F1300" s="10"/>
      <c r="K1300" s="39"/>
    </row>
    <row r="1301">
      <c r="D1301" s="10"/>
      <c r="F1301" s="10"/>
      <c r="K1301" s="39"/>
    </row>
    <row r="1302">
      <c r="D1302" s="10"/>
      <c r="F1302" s="10"/>
      <c r="K1302" s="39"/>
    </row>
    <row r="1303">
      <c r="D1303" s="10"/>
      <c r="F1303" s="10"/>
      <c r="K1303" s="39"/>
    </row>
    <row r="1304">
      <c r="D1304" s="10"/>
      <c r="F1304" s="10"/>
      <c r="K1304" s="39"/>
    </row>
    <row r="1305">
      <c r="D1305" s="10"/>
      <c r="F1305" s="10"/>
      <c r="K1305" s="39"/>
    </row>
    <row r="1306">
      <c r="D1306" s="10"/>
      <c r="F1306" s="10"/>
      <c r="K1306" s="39"/>
    </row>
    <row r="1307">
      <c r="D1307" s="10"/>
      <c r="F1307" s="10"/>
      <c r="K1307" s="39"/>
    </row>
    <row r="1308">
      <c r="D1308" s="10"/>
      <c r="F1308" s="10"/>
      <c r="K1308" s="39"/>
    </row>
    <row r="1309">
      <c r="D1309" s="10"/>
      <c r="F1309" s="10"/>
      <c r="K1309" s="39"/>
    </row>
    <row r="1310">
      <c r="D1310" s="10"/>
      <c r="F1310" s="10"/>
      <c r="K1310" s="39"/>
    </row>
    <row r="1311">
      <c r="D1311" s="10"/>
      <c r="F1311" s="10"/>
      <c r="K1311" s="39"/>
    </row>
    <row r="1312">
      <c r="D1312" s="10"/>
      <c r="F1312" s="10"/>
      <c r="K1312" s="39"/>
    </row>
    <row r="1313">
      <c r="D1313" s="10"/>
      <c r="F1313" s="10"/>
      <c r="K1313" s="39"/>
    </row>
    <row r="1314">
      <c r="D1314" s="10"/>
      <c r="F1314" s="10"/>
      <c r="K1314" s="39"/>
    </row>
    <row r="1315">
      <c r="D1315" s="10"/>
      <c r="F1315" s="10"/>
      <c r="K1315" s="39"/>
    </row>
    <row r="1316">
      <c r="D1316" s="10"/>
      <c r="F1316" s="10"/>
      <c r="K1316" s="39"/>
    </row>
    <row r="1317">
      <c r="D1317" s="10"/>
      <c r="F1317" s="10"/>
      <c r="K1317" s="39"/>
    </row>
    <row r="1318">
      <c r="D1318" s="10"/>
      <c r="F1318" s="10"/>
      <c r="K1318" s="39"/>
    </row>
    <row r="1319">
      <c r="D1319" s="10"/>
      <c r="F1319" s="10"/>
      <c r="K1319" s="39"/>
    </row>
    <row r="1320">
      <c r="D1320" s="10"/>
      <c r="F1320" s="10"/>
      <c r="K1320" s="39"/>
    </row>
    <row r="1321">
      <c r="D1321" s="10"/>
      <c r="F1321" s="10"/>
      <c r="K1321" s="39"/>
    </row>
    <row r="1322">
      <c r="D1322" s="10"/>
      <c r="F1322" s="10"/>
      <c r="K1322" s="39"/>
    </row>
    <row r="1323">
      <c r="D1323" s="10"/>
      <c r="F1323" s="10"/>
      <c r="K1323" s="39"/>
    </row>
    <row r="1324">
      <c r="D1324" s="10"/>
      <c r="F1324" s="10"/>
      <c r="K1324" s="39"/>
    </row>
    <row r="1325">
      <c r="D1325" s="10"/>
      <c r="F1325" s="10"/>
      <c r="K1325" s="39"/>
    </row>
    <row r="1326">
      <c r="D1326" s="10"/>
      <c r="F1326" s="10"/>
      <c r="K1326" s="39"/>
    </row>
    <row r="1327">
      <c r="D1327" s="10"/>
      <c r="F1327" s="10"/>
      <c r="K1327" s="39"/>
    </row>
    <row r="1328">
      <c r="D1328" s="10"/>
      <c r="F1328" s="10"/>
      <c r="K1328" s="39"/>
    </row>
    <row r="1329">
      <c r="D1329" s="10"/>
      <c r="F1329" s="10"/>
      <c r="K1329" s="39"/>
    </row>
    <row r="1330">
      <c r="D1330" s="10"/>
      <c r="F1330" s="10"/>
      <c r="K1330" s="39"/>
    </row>
    <row r="1331">
      <c r="D1331" s="10"/>
      <c r="F1331" s="10"/>
      <c r="K1331" s="39"/>
    </row>
    <row r="1332">
      <c r="D1332" s="10"/>
      <c r="F1332" s="10"/>
      <c r="K1332" s="39"/>
    </row>
    <row r="1333">
      <c r="D1333" s="10"/>
      <c r="F1333" s="10"/>
      <c r="K1333" s="39"/>
    </row>
    <row r="1334">
      <c r="D1334" s="10"/>
      <c r="F1334" s="10"/>
      <c r="K1334" s="39"/>
    </row>
    <row r="1335">
      <c r="D1335" s="10"/>
      <c r="F1335" s="10"/>
      <c r="K1335" s="39"/>
    </row>
    <row r="1336">
      <c r="D1336" s="10"/>
      <c r="F1336" s="10"/>
      <c r="K1336" s="39"/>
    </row>
    <row r="1337">
      <c r="D1337" s="10"/>
      <c r="F1337" s="10"/>
      <c r="K1337" s="39"/>
    </row>
    <row r="1338">
      <c r="D1338" s="10"/>
      <c r="F1338" s="10"/>
      <c r="K1338" s="39"/>
    </row>
    <row r="1339">
      <c r="D1339" s="10"/>
      <c r="F1339" s="10"/>
      <c r="K1339" s="39"/>
    </row>
    <row r="1340">
      <c r="D1340" s="10"/>
      <c r="F1340" s="10"/>
      <c r="K1340" s="39"/>
    </row>
    <row r="1341">
      <c r="D1341" s="10"/>
      <c r="F1341" s="10"/>
      <c r="K1341" s="39"/>
    </row>
    <row r="1342">
      <c r="D1342" s="10"/>
      <c r="F1342" s="10"/>
      <c r="K1342" s="39"/>
    </row>
    <row r="1343">
      <c r="D1343" s="10"/>
      <c r="F1343" s="10"/>
      <c r="K1343" s="39"/>
    </row>
    <row r="1344">
      <c r="D1344" s="10"/>
      <c r="F1344" s="10"/>
      <c r="K1344" s="39"/>
    </row>
    <row r="1345">
      <c r="D1345" s="10"/>
      <c r="F1345" s="10"/>
      <c r="K1345" s="39"/>
    </row>
    <row r="1346">
      <c r="D1346" s="10"/>
      <c r="F1346" s="10"/>
      <c r="K1346" s="39"/>
    </row>
    <row r="1347">
      <c r="D1347" s="10"/>
      <c r="F1347" s="10"/>
      <c r="K1347" s="39"/>
    </row>
    <row r="1348">
      <c r="D1348" s="10"/>
      <c r="F1348" s="10"/>
      <c r="K1348" s="39"/>
    </row>
    <row r="1349">
      <c r="D1349" s="10"/>
      <c r="F1349" s="10"/>
      <c r="K1349" s="39"/>
    </row>
    <row r="1350">
      <c r="D1350" s="10"/>
      <c r="F1350" s="10"/>
      <c r="K1350" s="39"/>
    </row>
    <row r="1351">
      <c r="D1351" s="10"/>
      <c r="F1351" s="10"/>
      <c r="K1351" s="39"/>
    </row>
    <row r="1352">
      <c r="D1352" s="10"/>
      <c r="F1352" s="10"/>
      <c r="K1352" s="39"/>
    </row>
    <row r="1353">
      <c r="D1353" s="10"/>
      <c r="F1353" s="10"/>
      <c r="K1353" s="39"/>
    </row>
    <row r="1354">
      <c r="D1354" s="10"/>
      <c r="F1354" s="10"/>
      <c r="K1354" s="39"/>
    </row>
    <row r="1355">
      <c r="D1355" s="10"/>
      <c r="F1355" s="10"/>
      <c r="K1355" s="39"/>
    </row>
    <row r="1356">
      <c r="D1356" s="10"/>
      <c r="F1356" s="10"/>
      <c r="K1356" s="39"/>
    </row>
    <row r="1357">
      <c r="D1357" s="10"/>
      <c r="F1357" s="10"/>
      <c r="K1357" s="39"/>
    </row>
    <row r="1358">
      <c r="D1358" s="10"/>
      <c r="F1358" s="10"/>
      <c r="K1358" s="39"/>
    </row>
    <row r="1359">
      <c r="D1359" s="10"/>
      <c r="F1359" s="10"/>
      <c r="K1359" s="39"/>
    </row>
    <row r="1360">
      <c r="D1360" s="10"/>
      <c r="F1360" s="10"/>
      <c r="K1360" s="39"/>
    </row>
    <row r="1361">
      <c r="D1361" s="10"/>
      <c r="F1361" s="10"/>
      <c r="K1361" s="39"/>
    </row>
    <row r="1362">
      <c r="D1362" s="10"/>
      <c r="F1362" s="10"/>
      <c r="K1362" s="39"/>
    </row>
    <row r="1363">
      <c r="D1363" s="10"/>
      <c r="F1363" s="10"/>
      <c r="K1363" s="39"/>
    </row>
    <row r="1364">
      <c r="D1364" s="10"/>
      <c r="F1364" s="10"/>
      <c r="K1364" s="39"/>
    </row>
    <row r="1365">
      <c r="D1365" s="10"/>
      <c r="F1365" s="10"/>
      <c r="K1365" s="39"/>
    </row>
    <row r="1366">
      <c r="D1366" s="10"/>
      <c r="F1366" s="10"/>
      <c r="K1366" s="39"/>
    </row>
    <row r="1367">
      <c r="D1367" s="10"/>
      <c r="F1367" s="10"/>
      <c r="K1367" s="39"/>
    </row>
    <row r="1368">
      <c r="D1368" s="10"/>
      <c r="F1368" s="10"/>
      <c r="K1368" s="39"/>
    </row>
    <row r="1369">
      <c r="D1369" s="10"/>
      <c r="F1369" s="10"/>
      <c r="K1369" s="39"/>
    </row>
    <row r="1370">
      <c r="D1370" s="10"/>
      <c r="F1370" s="10"/>
      <c r="K1370" s="39"/>
    </row>
    <row r="1371">
      <c r="D1371" s="10"/>
      <c r="F1371" s="10"/>
      <c r="K1371" s="39"/>
    </row>
    <row r="1372">
      <c r="D1372" s="10"/>
      <c r="F1372" s="10"/>
      <c r="K1372" s="39"/>
    </row>
    <row r="1373">
      <c r="D1373" s="10"/>
      <c r="F1373" s="10"/>
      <c r="K1373" s="39"/>
    </row>
    <row r="1374">
      <c r="D1374" s="10"/>
      <c r="F1374" s="10"/>
      <c r="K1374" s="39"/>
    </row>
    <row r="1375">
      <c r="D1375" s="10"/>
      <c r="F1375" s="10"/>
      <c r="K1375" s="39"/>
    </row>
    <row r="1376">
      <c r="D1376" s="10"/>
      <c r="F1376" s="10"/>
      <c r="K1376" s="39"/>
    </row>
    <row r="1377">
      <c r="D1377" s="10"/>
      <c r="F1377" s="10"/>
      <c r="K1377" s="39"/>
    </row>
    <row r="1378">
      <c r="D1378" s="10"/>
      <c r="F1378" s="10"/>
      <c r="K1378" s="39"/>
    </row>
    <row r="1379">
      <c r="D1379" s="10"/>
      <c r="F1379" s="10"/>
      <c r="K1379" s="39"/>
    </row>
    <row r="1380">
      <c r="D1380" s="10"/>
      <c r="F1380" s="10"/>
      <c r="K1380" s="39"/>
    </row>
    <row r="1381">
      <c r="D1381" s="10"/>
      <c r="F1381" s="10"/>
      <c r="K1381" s="39"/>
    </row>
    <row r="1382">
      <c r="D1382" s="10"/>
      <c r="F1382" s="10"/>
      <c r="K1382" s="39"/>
    </row>
    <row r="1383">
      <c r="D1383" s="10"/>
      <c r="F1383" s="10"/>
      <c r="K1383" s="39"/>
    </row>
    <row r="1384">
      <c r="D1384" s="10"/>
      <c r="F1384" s="10"/>
      <c r="K1384" s="39"/>
    </row>
    <row r="1385">
      <c r="D1385" s="10"/>
      <c r="F1385" s="10"/>
      <c r="K1385" s="39"/>
    </row>
    <row r="1386">
      <c r="D1386" s="10"/>
      <c r="F1386" s="10"/>
      <c r="K1386" s="39"/>
    </row>
    <row r="1387">
      <c r="D1387" s="10"/>
      <c r="F1387" s="10"/>
      <c r="K1387" s="39"/>
    </row>
    <row r="1388">
      <c r="D1388" s="10"/>
      <c r="F1388" s="10"/>
      <c r="K1388" s="39"/>
    </row>
    <row r="1389">
      <c r="D1389" s="10"/>
      <c r="F1389" s="10"/>
      <c r="K1389" s="39"/>
    </row>
    <row r="1390">
      <c r="D1390" s="10"/>
      <c r="F1390" s="10"/>
      <c r="K1390" s="39"/>
    </row>
    <row r="1391">
      <c r="D1391" s="10"/>
      <c r="F1391" s="10"/>
      <c r="K1391" s="39"/>
    </row>
    <row r="1392">
      <c r="D1392" s="10"/>
      <c r="F1392" s="10"/>
      <c r="K1392" s="39"/>
    </row>
    <row r="1393">
      <c r="D1393" s="10"/>
      <c r="F1393" s="10"/>
      <c r="K1393" s="39"/>
    </row>
    <row r="1394">
      <c r="D1394" s="10"/>
      <c r="F1394" s="10"/>
      <c r="K1394" s="39"/>
    </row>
    <row r="1395">
      <c r="D1395" s="10"/>
      <c r="F1395" s="10"/>
      <c r="K1395" s="39"/>
    </row>
    <row r="1396">
      <c r="D1396" s="10"/>
      <c r="F1396" s="10"/>
      <c r="K1396" s="39"/>
    </row>
    <row r="1397">
      <c r="D1397" s="10"/>
      <c r="F1397" s="10"/>
      <c r="K1397" s="39"/>
    </row>
    <row r="1398">
      <c r="D1398" s="10"/>
      <c r="F1398" s="10"/>
      <c r="K1398" s="39"/>
    </row>
    <row r="1399">
      <c r="D1399" s="10"/>
      <c r="F1399" s="10"/>
      <c r="K1399" s="39"/>
    </row>
    <row r="1400">
      <c r="D1400" s="10"/>
      <c r="F1400" s="10"/>
      <c r="K1400" s="39"/>
    </row>
    <row r="1401">
      <c r="D1401" s="10"/>
      <c r="F1401" s="10"/>
      <c r="K1401" s="39"/>
    </row>
    <row r="1402">
      <c r="D1402" s="10"/>
      <c r="F1402" s="10"/>
      <c r="K1402" s="39"/>
    </row>
    <row r="1403">
      <c r="D1403" s="10"/>
      <c r="F1403" s="10"/>
      <c r="K1403" s="39"/>
    </row>
    <row r="1404">
      <c r="D1404" s="10"/>
      <c r="F1404" s="10"/>
      <c r="K1404" s="39"/>
    </row>
    <row r="1405">
      <c r="D1405" s="10"/>
      <c r="F1405" s="10"/>
      <c r="K1405" s="39"/>
    </row>
    <row r="1406">
      <c r="D1406" s="10"/>
      <c r="F1406" s="10"/>
      <c r="K1406" s="39"/>
    </row>
    <row r="1407">
      <c r="D1407" s="10"/>
      <c r="F1407" s="10"/>
      <c r="K1407" s="39"/>
    </row>
    <row r="1408">
      <c r="D1408" s="10"/>
      <c r="F1408" s="10"/>
      <c r="K1408" s="39"/>
    </row>
    <row r="1409">
      <c r="D1409" s="10"/>
      <c r="F1409" s="10"/>
      <c r="K1409" s="39"/>
    </row>
    <row r="1410">
      <c r="D1410" s="10"/>
      <c r="F1410" s="10"/>
      <c r="K1410" s="39"/>
    </row>
    <row r="1411">
      <c r="D1411" s="10"/>
      <c r="F1411" s="10"/>
      <c r="K1411" s="39"/>
    </row>
    <row r="1412">
      <c r="D1412" s="10"/>
      <c r="F1412" s="10"/>
      <c r="K1412" s="39"/>
    </row>
    <row r="1413">
      <c r="D1413" s="10"/>
      <c r="F1413" s="10"/>
      <c r="K1413" s="39"/>
    </row>
    <row r="1414">
      <c r="D1414" s="10"/>
      <c r="F1414" s="10"/>
      <c r="K1414" s="39"/>
    </row>
    <row r="1415">
      <c r="D1415" s="10"/>
      <c r="F1415" s="10"/>
      <c r="K1415" s="39"/>
    </row>
    <row r="1416">
      <c r="D1416" s="10"/>
      <c r="F1416" s="10"/>
      <c r="K1416" s="39"/>
    </row>
    <row r="1417">
      <c r="D1417" s="10"/>
      <c r="F1417" s="10"/>
      <c r="K1417" s="39"/>
    </row>
    <row r="1418">
      <c r="D1418" s="10"/>
      <c r="F1418" s="10"/>
      <c r="K1418" s="39"/>
    </row>
    <row r="1419">
      <c r="D1419" s="10"/>
      <c r="F1419" s="10"/>
      <c r="K1419" s="39"/>
    </row>
    <row r="1420">
      <c r="D1420" s="10"/>
      <c r="F1420" s="10"/>
      <c r="K1420" s="39"/>
    </row>
    <row r="1421">
      <c r="D1421" s="10"/>
      <c r="F1421" s="10"/>
      <c r="K1421" s="39"/>
    </row>
    <row r="1422">
      <c r="D1422" s="10"/>
      <c r="F1422" s="10"/>
      <c r="K1422" s="39"/>
    </row>
    <row r="1423">
      <c r="D1423" s="10"/>
      <c r="F1423" s="10"/>
      <c r="K1423" s="39"/>
    </row>
    <row r="1424">
      <c r="D1424" s="10"/>
      <c r="F1424" s="10"/>
      <c r="K1424" s="39"/>
    </row>
    <row r="1425">
      <c r="D1425" s="10"/>
      <c r="F1425" s="10"/>
      <c r="K1425" s="39"/>
    </row>
    <row r="1426">
      <c r="D1426" s="10"/>
      <c r="F1426" s="10"/>
      <c r="K1426" s="39"/>
    </row>
    <row r="1427">
      <c r="D1427" s="10"/>
      <c r="F1427" s="10"/>
      <c r="K1427" s="39"/>
    </row>
    <row r="1428">
      <c r="D1428" s="10"/>
      <c r="F1428" s="10"/>
      <c r="K1428" s="39"/>
    </row>
    <row r="1429">
      <c r="D1429" s="10"/>
      <c r="F1429" s="10"/>
      <c r="K1429" s="39"/>
    </row>
    <row r="1430">
      <c r="D1430" s="10"/>
      <c r="F1430" s="10"/>
      <c r="K1430" s="39"/>
    </row>
    <row r="1431">
      <c r="D1431" s="10"/>
      <c r="F1431" s="10"/>
      <c r="K1431" s="39"/>
    </row>
    <row r="1432">
      <c r="D1432" s="10"/>
      <c r="F1432" s="10"/>
      <c r="K1432" s="39"/>
    </row>
    <row r="1433">
      <c r="D1433" s="10"/>
      <c r="F1433" s="10"/>
      <c r="K1433" s="39"/>
    </row>
    <row r="1434">
      <c r="D1434" s="10"/>
      <c r="F1434" s="10"/>
      <c r="K1434" s="39"/>
    </row>
    <row r="1435">
      <c r="D1435" s="10"/>
      <c r="F1435" s="10"/>
      <c r="K1435" s="39"/>
    </row>
    <row r="1436">
      <c r="D1436" s="10"/>
      <c r="F1436" s="10"/>
      <c r="K1436" s="39"/>
    </row>
    <row r="1437">
      <c r="D1437" s="10"/>
      <c r="F1437" s="10"/>
      <c r="K1437" s="39"/>
    </row>
    <row r="1438">
      <c r="D1438" s="10"/>
      <c r="F1438" s="10"/>
      <c r="K1438" s="39"/>
    </row>
    <row r="1439">
      <c r="D1439" s="10"/>
      <c r="F1439" s="10"/>
      <c r="K1439" s="39"/>
    </row>
    <row r="1440">
      <c r="D1440" s="10"/>
      <c r="F1440" s="10"/>
      <c r="K1440" s="39"/>
    </row>
    <row r="1441">
      <c r="D1441" s="10"/>
      <c r="F1441" s="10"/>
      <c r="K1441" s="39"/>
    </row>
    <row r="1442">
      <c r="D1442" s="10"/>
      <c r="F1442" s="10"/>
      <c r="K1442" s="39"/>
    </row>
    <row r="1443">
      <c r="D1443" s="10"/>
      <c r="F1443" s="10"/>
      <c r="K1443" s="39"/>
    </row>
    <row r="1444">
      <c r="D1444" s="10"/>
      <c r="F1444" s="10"/>
      <c r="K1444" s="39"/>
    </row>
    <row r="1445">
      <c r="D1445" s="10"/>
      <c r="F1445" s="10"/>
      <c r="K1445" s="39"/>
    </row>
    <row r="1446">
      <c r="D1446" s="10"/>
      <c r="F1446" s="10"/>
      <c r="K1446" s="39"/>
    </row>
    <row r="1447">
      <c r="D1447" s="10"/>
      <c r="F1447" s="10"/>
      <c r="K1447" s="39"/>
    </row>
    <row r="1448">
      <c r="D1448" s="10"/>
      <c r="F1448" s="10"/>
      <c r="K1448" s="39"/>
    </row>
    <row r="1449">
      <c r="D1449" s="10"/>
      <c r="F1449" s="10"/>
      <c r="K1449" s="39"/>
    </row>
    <row r="1450">
      <c r="D1450" s="10"/>
      <c r="F1450" s="10"/>
      <c r="K1450" s="39"/>
    </row>
    <row r="1451">
      <c r="D1451" s="10"/>
      <c r="F1451" s="10"/>
      <c r="K1451" s="39"/>
    </row>
    <row r="1452">
      <c r="D1452" s="10"/>
      <c r="F1452" s="10"/>
      <c r="K1452" s="39"/>
    </row>
    <row r="1453">
      <c r="D1453" s="10"/>
      <c r="F1453" s="10"/>
      <c r="K1453" s="39"/>
    </row>
    <row r="1454">
      <c r="D1454" s="10"/>
      <c r="F1454" s="10"/>
      <c r="K1454" s="39"/>
    </row>
    <row r="1455">
      <c r="D1455" s="10"/>
      <c r="F1455" s="10"/>
      <c r="K1455" s="39"/>
    </row>
    <row r="1456">
      <c r="D1456" s="10"/>
      <c r="F1456" s="10"/>
      <c r="K1456" s="39"/>
    </row>
    <row r="1457">
      <c r="D1457" s="10"/>
      <c r="F1457" s="10"/>
      <c r="K1457" s="39"/>
    </row>
    <row r="1458">
      <c r="D1458" s="10"/>
      <c r="F1458" s="10"/>
      <c r="K1458" s="39"/>
    </row>
    <row r="1459">
      <c r="D1459" s="10"/>
      <c r="F1459" s="10"/>
      <c r="K1459" s="39"/>
    </row>
    <row r="1460">
      <c r="D1460" s="10"/>
      <c r="F1460" s="10"/>
      <c r="K1460" s="39"/>
    </row>
    <row r="1461">
      <c r="D1461" s="10"/>
      <c r="F1461" s="10"/>
      <c r="K1461" s="39"/>
    </row>
    <row r="1462">
      <c r="D1462" s="10"/>
      <c r="F1462" s="10"/>
      <c r="K1462" s="39"/>
    </row>
    <row r="1463">
      <c r="D1463" s="10"/>
      <c r="F1463" s="10"/>
      <c r="K1463" s="39"/>
    </row>
    <row r="1464">
      <c r="D1464" s="10"/>
      <c r="F1464" s="10"/>
      <c r="K1464" s="39"/>
    </row>
    <row r="1465">
      <c r="D1465" s="10"/>
      <c r="F1465" s="10"/>
      <c r="K1465" s="39"/>
    </row>
    <row r="1466">
      <c r="D1466" s="10"/>
      <c r="F1466" s="10"/>
      <c r="K1466" s="39"/>
    </row>
    <row r="1467">
      <c r="D1467" s="10"/>
      <c r="F1467" s="10"/>
      <c r="K1467" s="39"/>
    </row>
    <row r="1468">
      <c r="D1468" s="10"/>
      <c r="F1468" s="10"/>
      <c r="K1468" s="39"/>
    </row>
    <row r="1469">
      <c r="D1469" s="10"/>
      <c r="F1469" s="10"/>
      <c r="K1469" s="39"/>
    </row>
    <row r="1470">
      <c r="D1470" s="10"/>
      <c r="F1470" s="10"/>
      <c r="K1470" s="39"/>
    </row>
    <row r="1471">
      <c r="D1471" s="10"/>
      <c r="F1471" s="10"/>
      <c r="K1471" s="39"/>
    </row>
    <row r="1472">
      <c r="D1472" s="10"/>
      <c r="F1472" s="10"/>
      <c r="K1472" s="39"/>
    </row>
    <row r="1473">
      <c r="D1473" s="10"/>
      <c r="F1473" s="10"/>
      <c r="K1473" s="39"/>
    </row>
    <row r="1474">
      <c r="D1474" s="10"/>
      <c r="F1474" s="10"/>
      <c r="K1474" s="39"/>
    </row>
    <row r="1475">
      <c r="D1475" s="10"/>
      <c r="F1475" s="10"/>
      <c r="K1475" s="39"/>
    </row>
    <row r="1476">
      <c r="D1476" s="10"/>
      <c r="F1476" s="10"/>
      <c r="K1476" s="39"/>
    </row>
    <row r="1477">
      <c r="D1477" s="10"/>
      <c r="F1477" s="10"/>
      <c r="K1477" s="39"/>
    </row>
    <row r="1478">
      <c r="D1478" s="10"/>
      <c r="F1478" s="10"/>
      <c r="K1478" s="39"/>
    </row>
    <row r="1479">
      <c r="D1479" s="10"/>
      <c r="F1479" s="10"/>
      <c r="K1479" s="39"/>
    </row>
    <row r="1480">
      <c r="D1480" s="10"/>
      <c r="F1480" s="10"/>
      <c r="K1480" s="39"/>
    </row>
    <row r="1481">
      <c r="D1481" s="10"/>
      <c r="F1481" s="10"/>
      <c r="K1481" s="39"/>
    </row>
    <row r="1482">
      <c r="D1482" s="10"/>
      <c r="F1482" s="10"/>
      <c r="K1482" s="39"/>
    </row>
    <row r="1483">
      <c r="D1483" s="10"/>
      <c r="F1483" s="10"/>
      <c r="K1483" s="39"/>
    </row>
    <row r="1484">
      <c r="D1484" s="10"/>
      <c r="F1484" s="10"/>
      <c r="K1484" s="39"/>
    </row>
    <row r="1485">
      <c r="D1485" s="10"/>
      <c r="F1485" s="10"/>
      <c r="K1485" s="39"/>
    </row>
    <row r="1486">
      <c r="D1486" s="10"/>
      <c r="F1486" s="10"/>
      <c r="K1486" s="39"/>
    </row>
    <row r="1487">
      <c r="D1487" s="10"/>
      <c r="F1487" s="10"/>
      <c r="K1487" s="39"/>
    </row>
    <row r="1488">
      <c r="D1488" s="10"/>
      <c r="F1488" s="10"/>
      <c r="K1488" s="39"/>
    </row>
    <row r="1489">
      <c r="D1489" s="10"/>
      <c r="F1489" s="10"/>
      <c r="K1489" s="39"/>
    </row>
    <row r="1490">
      <c r="D1490" s="10"/>
      <c r="F1490" s="10"/>
      <c r="K1490" s="39"/>
    </row>
    <row r="1491">
      <c r="D1491" s="10"/>
      <c r="F1491" s="10"/>
      <c r="K1491" s="39"/>
    </row>
    <row r="1492">
      <c r="D1492" s="10"/>
      <c r="F1492" s="10"/>
      <c r="K1492" s="39"/>
    </row>
    <row r="1493">
      <c r="D1493" s="10"/>
      <c r="F1493" s="10"/>
      <c r="K1493" s="39"/>
    </row>
    <row r="1494">
      <c r="D1494" s="10"/>
      <c r="F1494" s="10"/>
      <c r="K1494" s="39"/>
    </row>
    <row r="1495">
      <c r="D1495" s="10"/>
      <c r="F1495" s="10"/>
      <c r="K1495" s="39"/>
    </row>
    <row r="1496">
      <c r="D1496" s="10"/>
      <c r="F1496" s="10"/>
      <c r="K1496" s="39"/>
    </row>
    <row r="1497">
      <c r="D1497" s="10"/>
      <c r="F1497" s="10"/>
      <c r="K1497" s="39"/>
    </row>
    <row r="1498">
      <c r="D1498" s="10"/>
      <c r="F1498" s="10"/>
      <c r="K1498" s="39"/>
    </row>
    <row r="1499">
      <c r="D1499" s="10"/>
      <c r="F1499" s="10"/>
      <c r="K1499" s="39"/>
    </row>
    <row r="1500">
      <c r="D1500" s="10"/>
      <c r="F1500" s="10"/>
      <c r="K1500" s="39"/>
    </row>
    <row r="1501">
      <c r="D1501" s="10"/>
      <c r="F1501" s="10"/>
      <c r="K1501" s="39"/>
    </row>
    <row r="1502">
      <c r="D1502" s="10"/>
      <c r="F1502" s="10"/>
      <c r="K1502" s="39"/>
    </row>
    <row r="1503">
      <c r="D1503" s="10"/>
      <c r="F1503" s="10"/>
      <c r="K1503" s="39"/>
    </row>
    <row r="1504">
      <c r="D1504" s="10"/>
      <c r="F1504" s="10"/>
      <c r="K1504" s="39"/>
    </row>
    <row r="1505">
      <c r="D1505" s="10"/>
      <c r="F1505" s="10"/>
      <c r="K1505" s="39"/>
    </row>
    <row r="1506">
      <c r="D1506" s="10"/>
      <c r="F1506" s="10"/>
      <c r="K1506" s="39"/>
    </row>
    <row r="1507">
      <c r="D1507" s="10"/>
      <c r="F1507" s="10"/>
      <c r="K1507" s="39"/>
    </row>
    <row r="1508">
      <c r="D1508" s="10"/>
      <c r="F1508" s="10"/>
      <c r="K1508" s="39"/>
    </row>
    <row r="1509">
      <c r="D1509" s="10"/>
      <c r="F1509" s="10"/>
      <c r="K1509" s="39"/>
    </row>
    <row r="1510">
      <c r="D1510" s="10"/>
      <c r="F1510" s="10"/>
      <c r="K1510" s="39"/>
    </row>
    <row r="1511">
      <c r="D1511" s="10"/>
      <c r="F1511" s="10"/>
      <c r="K1511" s="39"/>
    </row>
    <row r="1512">
      <c r="D1512" s="10"/>
      <c r="F1512" s="10"/>
      <c r="K1512" s="39"/>
    </row>
    <row r="1513">
      <c r="D1513" s="10"/>
      <c r="F1513" s="10"/>
      <c r="K1513" s="39"/>
    </row>
    <row r="1514">
      <c r="D1514" s="10"/>
      <c r="F1514" s="10"/>
      <c r="K1514" s="39"/>
    </row>
    <row r="1515">
      <c r="D1515" s="10"/>
      <c r="F1515" s="10"/>
      <c r="K1515" s="39"/>
    </row>
    <row r="1516">
      <c r="D1516" s="10"/>
      <c r="F1516" s="10"/>
      <c r="K1516" s="39"/>
    </row>
    <row r="1517">
      <c r="D1517" s="10"/>
      <c r="F1517" s="10"/>
      <c r="K1517" s="39"/>
    </row>
    <row r="1518">
      <c r="D1518" s="10"/>
      <c r="F1518" s="10"/>
      <c r="K1518" s="39"/>
    </row>
    <row r="1519">
      <c r="D1519" s="10"/>
      <c r="F1519" s="10"/>
      <c r="K1519" s="39"/>
    </row>
    <row r="1520">
      <c r="D1520" s="10"/>
      <c r="F1520" s="10"/>
      <c r="K1520" s="39"/>
    </row>
    <row r="1521">
      <c r="D1521" s="10"/>
      <c r="F1521" s="10"/>
      <c r="K1521" s="39"/>
    </row>
    <row r="1522">
      <c r="D1522" s="10"/>
      <c r="F1522" s="10"/>
      <c r="K1522" s="39"/>
    </row>
    <row r="1523">
      <c r="D1523" s="10"/>
      <c r="F1523" s="10"/>
      <c r="K1523" s="39"/>
    </row>
    <row r="1524">
      <c r="D1524" s="10"/>
      <c r="F1524" s="10"/>
      <c r="K1524" s="39"/>
    </row>
    <row r="1525">
      <c r="D1525" s="10"/>
      <c r="F1525" s="10"/>
      <c r="K1525" s="39"/>
    </row>
    <row r="1526">
      <c r="D1526" s="10"/>
      <c r="F1526" s="10"/>
      <c r="K1526" s="39"/>
    </row>
    <row r="1527">
      <c r="D1527" s="10"/>
      <c r="F1527" s="10"/>
      <c r="K1527" s="39"/>
    </row>
    <row r="1528">
      <c r="D1528" s="10"/>
      <c r="F1528" s="10"/>
      <c r="K1528" s="39"/>
    </row>
    <row r="1529">
      <c r="D1529" s="10"/>
      <c r="F1529" s="10"/>
      <c r="K1529" s="39"/>
    </row>
    <row r="1530">
      <c r="D1530" s="10"/>
      <c r="F1530" s="10"/>
      <c r="K1530" s="39"/>
    </row>
    <row r="1531">
      <c r="D1531" s="10"/>
      <c r="F1531" s="10"/>
      <c r="K1531" s="39"/>
    </row>
    <row r="1532">
      <c r="D1532" s="10"/>
      <c r="F1532" s="10"/>
      <c r="K1532" s="39"/>
    </row>
    <row r="1533">
      <c r="D1533" s="10"/>
      <c r="F1533" s="10"/>
      <c r="K1533" s="39"/>
    </row>
    <row r="1534">
      <c r="D1534" s="10"/>
      <c r="F1534" s="10"/>
      <c r="K1534" s="39"/>
    </row>
    <row r="1535">
      <c r="D1535" s="10"/>
      <c r="F1535" s="10"/>
      <c r="K1535" s="39"/>
    </row>
    <row r="1536">
      <c r="D1536" s="10"/>
      <c r="F1536" s="10"/>
      <c r="K1536" s="39"/>
    </row>
    <row r="1537">
      <c r="D1537" s="10"/>
      <c r="F1537" s="10"/>
      <c r="K1537" s="39"/>
    </row>
    <row r="1538">
      <c r="D1538" s="10"/>
      <c r="F1538" s="10"/>
      <c r="K1538" s="39"/>
    </row>
    <row r="1539">
      <c r="D1539" s="10"/>
      <c r="F1539" s="10"/>
      <c r="K1539" s="39"/>
    </row>
    <row r="1540">
      <c r="D1540" s="10"/>
      <c r="F1540" s="10"/>
      <c r="K1540" s="39"/>
    </row>
    <row r="1541">
      <c r="D1541" s="10"/>
      <c r="F1541" s="10"/>
      <c r="K1541" s="39"/>
    </row>
    <row r="1542">
      <c r="D1542" s="10"/>
      <c r="F1542" s="10"/>
      <c r="K1542" s="39"/>
    </row>
    <row r="1543">
      <c r="D1543" s="10"/>
      <c r="F1543" s="10"/>
      <c r="K1543" s="39"/>
    </row>
    <row r="1544">
      <c r="D1544" s="10"/>
      <c r="F1544" s="10"/>
      <c r="K1544" s="39"/>
    </row>
    <row r="1545">
      <c r="D1545" s="10"/>
      <c r="F1545" s="10"/>
      <c r="K1545" s="39"/>
    </row>
    <row r="1546">
      <c r="D1546" s="10"/>
      <c r="F1546" s="10"/>
      <c r="K1546" s="39"/>
    </row>
    <row r="1547">
      <c r="D1547" s="10"/>
      <c r="F1547" s="10"/>
      <c r="K1547" s="39"/>
    </row>
    <row r="1548">
      <c r="D1548" s="10"/>
      <c r="F1548" s="10"/>
      <c r="K1548" s="39"/>
    </row>
    <row r="1549">
      <c r="D1549" s="10"/>
      <c r="F1549" s="10"/>
      <c r="K1549" s="39"/>
    </row>
    <row r="1550">
      <c r="D1550" s="10"/>
      <c r="F1550" s="10"/>
      <c r="K1550" s="39"/>
    </row>
    <row r="1551">
      <c r="D1551" s="10"/>
      <c r="F1551" s="10"/>
      <c r="K1551" s="39"/>
    </row>
    <row r="1552">
      <c r="D1552" s="10"/>
      <c r="F1552" s="10"/>
      <c r="K1552" s="39"/>
    </row>
    <row r="1553">
      <c r="D1553" s="10"/>
      <c r="F1553" s="10"/>
      <c r="K1553" s="39"/>
    </row>
    <row r="1554">
      <c r="D1554" s="10"/>
      <c r="F1554" s="10"/>
      <c r="K1554" s="39"/>
    </row>
    <row r="1555">
      <c r="D1555" s="10"/>
      <c r="F1555" s="10"/>
      <c r="K1555" s="39"/>
    </row>
    <row r="1556">
      <c r="D1556" s="10"/>
      <c r="F1556" s="10"/>
      <c r="K1556" s="39"/>
    </row>
    <row r="1557">
      <c r="D1557" s="10"/>
      <c r="F1557" s="10"/>
      <c r="K1557" s="39"/>
    </row>
    <row r="1558">
      <c r="D1558" s="10"/>
      <c r="F1558" s="10"/>
      <c r="K1558" s="39"/>
    </row>
    <row r="1559">
      <c r="D1559" s="10"/>
      <c r="F1559" s="10"/>
      <c r="K1559" s="39"/>
    </row>
    <row r="1560">
      <c r="D1560" s="10"/>
      <c r="F1560" s="10"/>
      <c r="K1560" s="39"/>
    </row>
    <row r="1561">
      <c r="D1561" s="10"/>
      <c r="F1561" s="10"/>
      <c r="K1561" s="39"/>
    </row>
    <row r="1562">
      <c r="D1562" s="10"/>
      <c r="F1562" s="10"/>
      <c r="K1562" s="39"/>
    </row>
    <row r="1563">
      <c r="D1563" s="10"/>
      <c r="F1563" s="10"/>
      <c r="K1563" s="39"/>
    </row>
    <row r="1564">
      <c r="D1564" s="10"/>
      <c r="F1564" s="10"/>
      <c r="K1564" s="39"/>
    </row>
    <row r="1565">
      <c r="D1565" s="10"/>
      <c r="F1565" s="10"/>
      <c r="K1565" s="39"/>
    </row>
    <row r="1566">
      <c r="D1566" s="10"/>
      <c r="F1566" s="10"/>
      <c r="K1566" s="39"/>
    </row>
    <row r="1567">
      <c r="D1567" s="10"/>
      <c r="F1567" s="10"/>
      <c r="K1567" s="39"/>
    </row>
    <row r="1568">
      <c r="D1568" s="10"/>
      <c r="F1568" s="10"/>
      <c r="K1568" s="39"/>
    </row>
    <row r="1569">
      <c r="D1569" s="10"/>
      <c r="F1569" s="10"/>
      <c r="K1569" s="39"/>
    </row>
    <row r="1570">
      <c r="D1570" s="10"/>
      <c r="F1570" s="10"/>
      <c r="K1570" s="39"/>
    </row>
    <row r="1571">
      <c r="D1571" s="10"/>
      <c r="F1571" s="10"/>
      <c r="K1571" s="39"/>
    </row>
    <row r="1572">
      <c r="D1572" s="10"/>
      <c r="F1572" s="10"/>
      <c r="K1572" s="39"/>
    </row>
    <row r="1573">
      <c r="D1573" s="10"/>
      <c r="F1573" s="10"/>
      <c r="K1573" s="39"/>
    </row>
    <row r="1574">
      <c r="D1574" s="10"/>
      <c r="F1574" s="10"/>
      <c r="K1574" s="39"/>
    </row>
    <row r="1575">
      <c r="D1575" s="10"/>
      <c r="F1575" s="10"/>
      <c r="K1575" s="39"/>
    </row>
    <row r="1576">
      <c r="D1576" s="10"/>
      <c r="F1576" s="10"/>
      <c r="K1576" s="39"/>
    </row>
    <row r="1577">
      <c r="D1577" s="10"/>
      <c r="F1577" s="10"/>
      <c r="K1577" s="39"/>
    </row>
    <row r="1578">
      <c r="D1578" s="10"/>
      <c r="F1578" s="10"/>
      <c r="K1578" s="39"/>
    </row>
    <row r="1579">
      <c r="D1579" s="10"/>
      <c r="F1579" s="10"/>
      <c r="K1579" s="39"/>
    </row>
    <row r="1580">
      <c r="D1580" s="10"/>
      <c r="F1580" s="10"/>
      <c r="K1580" s="39"/>
    </row>
    <row r="1581">
      <c r="D1581" s="10"/>
      <c r="F1581" s="10"/>
      <c r="K1581" s="39"/>
    </row>
    <row r="1582">
      <c r="D1582" s="10"/>
      <c r="F1582" s="10"/>
      <c r="K1582" s="39"/>
    </row>
    <row r="1583">
      <c r="D1583" s="10"/>
      <c r="F1583" s="10"/>
      <c r="K1583" s="39"/>
    </row>
    <row r="1584">
      <c r="D1584" s="10"/>
      <c r="F1584" s="10"/>
      <c r="K1584" s="39"/>
    </row>
    <row r="1585">
      <c r="D1585" s="10"/>
      <c r="F1585" s="10"/>
      <c r="K1585" s="39"/>
    </row>
    <row r="1586">
      <c r="D1586" s="10"/>
      <c r="F1586" s="10"/>
      <c r="K1586" s="39"/>
    </row>
    <row r="1587">
      <c r="D1587" s="10"/>
      <c r="F1587" s="10"/>
      <c r="K1587" s="39"/>
    </row>
    <row r="1588">
      <c r="D1588" s="10"/>
      <c r="F1588" s="10"/>
      <c r="K1588" s="39"/>
    </row>
    <row r="1589">
      <c r="D1589" s="10"/>
      <c r="F1589" s="10"/>
      <c r="K1589" s="39"/>
    </row>
    <row r="1590">
      <c r="D1590" s="10"/>
      <c r="F1590" s="10"/>
      <c r="K1590" s="39"/>
    </row>
    <row r="1591">
      <c r="D1591" s="10"/>
      <c r="F1591" s="10"/>
      <c r="K1591" s="39"/>
    </row>
    <row r="1592">
      <c r="D1592" s="10"/>
      <c r="F1592" s="10"/>
      <c r="K1592" s="39"/>
    </row>
    <row r="1593">
      <c r="D1593" s="10"/>
      <c r="F1593" s="10"/>
      <c r="K1593" s="39"/>
    </row>
    <row r="1594">
      <c r="D1594" s="10"/>
      <c r="F1594" s="10"/>
      <c r="K1594" s="39"/>
    </row>
    <row r="1595">
      <c r="D1595" s="10"/>
      <c r="F1595" s="10"/>
      <c r="K1595" s="39"/>
    </row>
    <row r="1596">
      <c r="D1596" s="10"/>
      <c r="F1596" s="10"/>
      <c r="K1596" s="39"/>
    </row>
    <row r="1597">
      <c r="D1597" s="10"/>
      <c r="F1597" s="10"/>
      <c r="K1597" s="39"/>
    </row>
    <row r="1598">
      <c r="D1598" s="10"/>
      <c r="F1598" s="10"/>
      <c r="K1598" s="39"/>
    </row>
    <row r="1599">
      <c r="D1599" s="10"/>
      <c r="F1599" s="10"/>
      <c r="K1599" s="39"/>
    </row>
    <row r="1600">
      <c r="D1600" s="10"/>
      <c r="F1600" s="10"/>
      <c r="K1600" s="39"/>
    </row>
    <row r="1601">
      <c r="D1601" s="10"/>
      <c r="F1601" s="10"/>
      <c r="K1601" s="39"/>
    </row>
    <row r="1602">
      <c r="D1602" s="10"/>
      <c r="F1602" s="10"/>
      <c r="K1602" s="39"/>
    </row>
    <row r="1603">
      <c r="D1603" s="10"/>
      <c r="F1603" s="10"/>
      <c r="K1603" s="39"/>
    </row>
    <row r="1604">
      <c r="D1604" s="10"/>
      <c r="F1604" s="10"/>
      <c r="K1604" s="39"/>
    </row>
    <row r="1605">
      <c r="D1605" s="10"/>
      <c r="F1605" s="10"/>
      <c r="K1605" s="39"/>
    </row>
    <row r="1606">
      <c r="D1606" s="10"/>
      <c r="F1606" s="10"/>
      <c r="K1606" s="39"/>
    </row>
    <row r="1607">
      <c r="D1607" s="10"/>
      <c r="F1607" s="10"/>
      <c r="K1607" s="39"/>
    </row>
    <row r="1608">
      <c r="D1608" s="10"/>
      <c r="F1608" s="10"/>
      <c r="K1608" s="39"/>
    </row>
    <row r="1609">
      <c r="D1609" s="10"/>
      <c r="F1609" s="10"/>
      <c r="K1609" s="39"/>
    </row>
    <row r="1610">
      <c r="D1610" s="10"/>
      <c r="F1610" s="10"/>
      <c r="K1610" s="39"/>
    </row>
    <row r="1611">
      <c r="D1611" s="10"/>
      <c r="F1611" s="10"/>
      <c r="K1611" s="39"/>
    </row>
    <row r="1612">
      <c r="D1612" s="10"/>
      <c r="F1612" s="10"/>
      <c r="K1612" s="39"/>
    </row>
    <row r="1613">
      <c r="D1613" s="10"/>
      <c r="F1613" s="10"/>
      <c r="K1613" s="39"/>
    </row>
    <row r="1614">
      <c r="D1614" s="10"/>
      <c r="F1614" s="10"/>
      <c r="K1614" s="39"/>
    </row>
    <row r="1615">
      <c r="D1615" s="10"/>
      <c r="F1615" s="10"/>
      <c r="K1615" s="39"/>
    </row>
    <row r="1616">
      <c r="D1616" s="10"/>
      <c r="F1616" s="10"/>
      <c r="K1616" s="39"/>
    </row>
    <row r="1617">
      <c r="D1617" s="10"/>
      <c r="F1617" s="10"/>
      <c r="K1617" s="39"/>
    </row>
    <row r="1618">
      <c r="D1618" s="10"/>
      <c r="F1618" s="10"/>
      <c r="K1618" s="39"/>
    </row>
    <row r="1619">
      <c r="D1619" s="10"/>
      <c r="F1619" s="10"/>
      <c r="K1619" s="39"/>
    </row>
    <row r="1620">
      <c r="D1620" s="10"/>
      <c r="F1620" s="10"/>
      <c r="K1620" s="39"/>
    </row>
    <row r="1621">
      <c r="D1621" s="10"/>
      <c r="F1621" s="10"/>
      <c r="K1621" s="39"/>
    </row>
    <row r="1622">
      <c r="D1622" s="10"/>
      <c r="F1622" s="10"/>
      <c r="K1622" s="39"/>
    </row>
    <row r="1623">
      <c r="D1623" s="10"/>
      <c r="F1623" s="10"/>
      <c r="K1623" s="39"/>
    </row>
    <row r="1624">
      <c r="D1624" s="10"/>
      <c r="F1624" s="10"/>
      <c r="K1624" s="39"/>
    </row>
    <row r="1625">
      <c r="D1625" s="10"/>
      <c r="F1625" s="10"/>
      <c r="K1625" s="39"/>
    </row>
    <row r="1626">
      <c r="D1626" s="10"/>
      <c r="F1626" s="10"/>
      <c r="K1626" s="39"/>
    </row>
    <row r="1627">
      <c r="D1627" s="10"/>
      <c r="F1627" s="10"/>
      <c r="K1627" s="39"/>
    </row>
    <row r="1628">
      <c r="D1628" s="10"/>
      <c r="F1628" s="10"/>
      <c r="K1628" s="39"/>
    </row>
    <row r="1629">
      <c r="D1629" s="10"/>
      <c r="F1629" s="10"/>
      <c r="K1629" s="39"/>
    </row>
    <row r="1630">
      <c r="D1630" s="10"/>
      <c r="F1630" s="10"/>
      <c r="K1630" s="39"/>
    </row>
    <row r="1631">
      <c r="D1631" s="10"/>
      <c r="F1631" s="10"/>
      <c r="K1631" s="39"/>
    </row>
    <row r="1632">
      <c r="D1632" s="10"/>
      <c r="F1632" s="10"/>
      <c r="K1632" s="39"/>
    </row>
    <row r="1633">
      <c r="D1633" s="10"/>
      <c r="F1633" s="10"/>
      <c r="K1633" s="39"/>
    </row>
    <row r="1634">
      <c r="D1634" s="10"/>
      <c r="F1634" s="10"/>
      <c r="K1634" s="39"/>
    </row>
    <row r="1635">
      <c r="D1635" s="10"/>
      <c r="F1635" s="10"/>
      <c r="K1635" s="39"/>
    </row>
    <row r="1636">
      <c r="D1636" s="10"/>
      <c r="F1636" s="10"/>
      <c r="K1636" s="39"/>
    </row>
    <row r="1637">
      <c r="D1637" s="10"/>
      <c r="F1637" s="10"/>
      <c r="K1637" s="39"/>
    </row>
    <row r="1638">
      <c r="D1638" s="10"/>
      <c r="F1638" s="10"/>
      <c r="K1638" s="39"/>
    </row>
    <row r="1639">
      <c r="D1639" s="10"/>
      <c r="F1639" s="10"/>
      <c r="K1639" s="39"/>
    </row>
    <row r="1640">
      <c r="D1640" s="10"/>
      <c r="F1640" s="10"/>
      <c r="K1640" s="39"/>
    </row>
    <row r="1641">
      <c r="A1641" s="17"/>
      <c r="D1641" s="10"/>
      <c r="F1641" s="10"/>
      <c r="K1641" s="39"/>
    </row>
  </sheetData>
  <autoFilter ref="$A$1:$B$716">
    <filterColumn colId="1">
      <filters blank="1">
        <filter val="#REF!"/>
      </filters>
    </filterColumn>
  </autoFilter>
  <dataValidations>
    <dataValidation type="list" allowBlank="1" showInputMessage="1" prompt="Haz clic e introduce un valor de intervalo 'General Taggs'!C2:C32" sqref="H2 Q2 Q4:Q8 Q12:Q31 H4:H37 Q39:Q45 H39:H53 H56:H60 Q56:Q60 H62:H66 Q62:Q66 Q68:Q81 H68:H89 Q91:Q97 H91:H101 H103:H114 Q103:Q114 H116:H118 Q116:Q118 Q121:Q125 H121:H127 H129:H130 H132 Q135:Q146 H134:H153 Q158:Q163 H158:H169 Q171:Q188 H171:H194 Q196:Q209 H196:H216 H224:H229 Q225:Q229 Q231:Q234 H231:H236 Q238:Q245 H238:H249 Q251:Q259 H251:H262 Q264:Q274 H264:H276 Q278:Q288 H278:H293 Q295:Q302 H295:H306 Q308:Q322 H308:H332 Q334:Q341 H334:H344 Q346:Q352 H346:H355 Q360:Q372 H360:H382 Q384:Q400 H384:H403 Q405:Q411 H405:H415 Q417:Q439 H417:H441 Q443:Q459 H443:H465 H467:H476 Q467:Q476 H478:H482 Q478:Q482 Q484:Q489 H484:H491 Q496:Q504 H496:H508 Q510:Q519 H510:H522 Q524:Q537 H524:H544 Q546:Q560 H546:H567 Q572:Q575 Q577:Q579 H569:H589 H592:H597 H600:H601">
      <formula1>'General Tags'!$D$2:$D$32</formula1>
    </dataValidation>
    <dataValidation type="list" allowBlank="1" showInputMessage="1" showErrorMessage="1" prompt="Please, first add the SE task in the General tags page in column E" sqref="I2 R2 R4:R8 R12:R31 I4:I37 R39:R45 I39:I53 I56:I60 R56:R60 I62:I66 R62:R66 R68:R81 I68:I89 R91:R97 I91:I101 I103:I114 R103:R114 I116:I118 R116:R118 R121:R125 I121:I127 I129:I130 I132 R135:R146 I134:I153 R158:R163 I158:I169 R171:R188 I171:I194 R196:R209 I196:I216 I224:I229 R225:R229 R231:R232 R234:R235 I231:I236 R238:R245 I238:I249 R251:R259 I251:I262 R264:R274 I264:I276 R278:R288 I278:I293 R295:R302 I295:I306 R308:R322 I308:I332 R334:R341 I334:I344 R346:R352 I346:I355 R360:R372 I360:I382 R384:R400 I384:I403 R405:R411 I405:I415 R417:R439 I417:I441 R443:R459 I443:I465 I467:I476 R467:R476 I478:I482 R478:R482 R484:R489 I484:I491 R496:R504 I496:I508 R510:R519 I510:I522 R524:R537 I524:I544 R546:R560 I546:I567 I569:I589 I592:I597 I600:I601">
      <formula1>'General Tags'!$F$2:$F$295</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6.13"/>
    <col customWidth="1" min="4" max="5" width="4.38"/>
    <col customWidth="1" min="7" max="7" width="26.13"/>
    <col customWidth="1" min="8" max="8" width="13.5"/>
    <col customWidth="1" min="9" max="9" width="4.38"/>
    <col customWidth="1" min="11" max="11" width="26.0"/>
    <col customWidth="1" min="13" max="13" width="4.38"/>
    <col customWidth="1" min="15" max="15" width="26.0"/>
    <col customWidth="1" min="17" max="17" width="4.38"/>
    <col customWidth="1" min="19" max="19" width="26.0"/>
    <col customWidth="1" min="21" max="22" width="4.38"/>
    <col customWidth="1" min="24" max="24" width="26.0"/>
    <col customWidth="1" min="26" max="26" width="4.38"/>
    <col customWidth="1" min="28" max="28" width="26.0"/>
  </cols>
  <sheetData>
    <row r="1">
      <c r="A1" s="147" t="s">
        <v>3287</v>
      </c>
      <c r="D1" s="148" t="s">
        <v>2636</v>
      </c>
      <c r="E1" s="149"/>
      <c r="F1" s="147" t="s">
        <v>3288</v>
      </c>
      <c r="I1" s="148" t="s">
        <v>2636</v>
      </c>
      <c r="J1" s="147" t="s">
        <v>3289</v>
      </c>
      <c r="M1" s="148" t="s">
        <v>2636</v>
      </c>
      <c r="N1" s="147" t="s">
        <v>3290</v>
      </c>
      <c r="Q1" s="148" t="s">
        <v>2636</v>
      </c>
      <c r="R1" s="147" t="s">
        <v>3291</v>
      </c>
      <c r="U1" s="148" t="s">
        <v>2636</v>
      </c>
      <c r="V1" s="69"/>
      <c r="W1" s="147" t="s">
        <v>3292</v>
      </c>
      <c r="Z1" s="148" t="s">
        <v>2636</v>
      </c>
      <c r="AA1" s="150" t="s">
        <v>3293</v>
      </c>
    </row>
    <row r="2">
      <c r="A2" s="150" t="s">
        <v>3294</v>
      </c>
      <c r="B2" s="150" t="s">
        <v>2205</v>
      </c>
      <c r="C2" s="150" t="s">
        <v>3295</v>
      </c>
      <c r="D2" s="148"/>
      <c r="E2" s="149"/>
      <c r="F2" s="150" t="s">
        <v>3294</v>
      </c>
      <c r="G2" s="150" t="s">
        <v>2205</v>
      </c>
      <c r="H2" s="150" t="s">
        <v>3295</v>
      </c>
      <c r="I2" s="148"/>
      <c r="J2" s="150" t="s">
        <v>3294</v>
      </c>
      <c r="K2" s="150" t="s">
        <v>2205</v>
      </c>
      <c r="L2" s="150" t="s">
        <v>3295</v>
      </c>
      <c r="M2" s="148"/>
      <c r="N2" s="150" t="s">
        <v>3294</v>
      </c>
      <c r="O2" s="150" t="s">
        <v>2205</v>
      </c>
      <c r="P2" s="150" t="s">
        <v>3295</v>
      </c>
      <c r="Q2" s="148"/>
      <c r="R2" s="150" t="s">
        <v>3294</v>
      </c>
      <c r="S2" s="150" t="s">
        <v>2205</v>
      </c>
      <c r="T2" s="150" t="s">
        <v>3295</v>
      </c>
      <c r="U2" s="148"/>
      <c r="V2" s="69"/>
      <c r="W2" s="150" t="s">
        <v>3294</v>
      </c>
      <c r="X2" s="150" t="s">
        <v>2205</v>
      </c>
      <c r="Y2" s="150" t="s">
        <v>3295</v>
      </c>
      <c r="Z2" s="148"/>
      <c r="AA2" s="150" t="s">
        <v>3294</v>
      </c>
      <c r="AB2" s="150" t="s">
        <v>2205</v>
      </c>
      <c r="AC2" s="150" t="s">
        <v>3295</v>
      </c>
    </row>
    <row r="3">
      <c r="A3" s="1" t="s">
        <v>3296</v>
      </c>
      <c r="B3" s="17" t="s">
        <v>850</v>
      </c>
      <c r="C3" s="17" t="s">
        <v>3297</v>
      </c>
      <c r="D3" s="104">
        <v>1.0</v>
      </c>
      <c r="E3" s="69"/>
      <c r="F3" s="1" t="s">
        <v>3298</v>
      </c>
      <c r="G3" s="1" t="s">
        <v>1154</v>
      </c>
      <c r="H3" s="1" t="s">
        <v>3297</v>
      </c>
      <c r="I3" s="104">
        <v>11.0</v>
      </c>
      <c r="J3" s="1" t="s">
        <v>3299</v>
      </c>
      <c r="K3" s="1" t="s">
        <v>598</v>
      </c>
      <c r="L3" s="1" t="s">
        <v>3297</v>
      </c>
      <c r="M3" s="104"/>
      <c r="N3" s="1" t="s">
        <v>3300</v>
      </c>
      <c r="O3" s="1" t="s">
        <v>1738</v>
      </c>
      <c r="P3" s="1" t="s">
        <v>3297</v>
      </c>
      <c r="Q3" s="104">
        <v>34.0</v>
      </c>
      <c r="R3" s="1" t="s">
        <v>3301</v>
      </c>
      <c r="S3" s="1" t="s">
        <v>514</v>
      </c>
      <c r="T3" s="1" t="s">
        <v>3297</v>
      </c>
      <c r="U3" s="104"/>
      <c r="V3" s="69"/>
      <c r="W3" s="1" t="s">
        <v>3302</v>
      </c>
      <c r="X3" s="17" t="s">
        <v>1394</v>
      </c>
      <c r="Y3" s="17" t="s">
        <v>3297</v>
      </c>
      <c r="Z3" s="104">
        <v>23.0</v>
      </c>
      <c r="AA3" s="1" t="s">
        <v>3303</v>
      </c>
      <c r="AB3" s="1" t="s">
        <v>8</v>
      </c>
      <c r="AC3" s="1" t="s">
        <v>3297</v>
      </c>
    </row>
    <row r="4">
      <c r="A4" s="1" t="s">
        <v>3296</v>
      </c>
      <c r="B4" s="17" t="s">
        <v>369</v>
      </c>
      <c r="C4" s="17" t="s">
        <v>3297</v>
      </c>
      <c r="D4" s="104"/>
      <c r="E4" s="69"/>
      <c r="F4" s="1" t="s">
        <v>3298</v>
      </c>
      <c r="G4" s="1" t="s">
        <v>1181</v>
      </c>
      <c r="H4" s="1" t="s">
        <v>3297</v>
      </c>
      <c r="I4" s="104">
        <v>12.0</v>
      </c>
      <c r="J4" s="1" t="s">
        <v>3299</v>
      </c>
      <c r="K4" s="1" t="s">
        <v>2201</v>
      </c>
      <c r="L4" s="1" t="s">
        <v>3297</v>
      </c>
      <c r="M4" s="104"/>
      <c r="N4" s="1" t="s">
        <v>3300</v>
      </c>
      <c r="O4" s="1" t="s">
        <v>1300</v>
      </c>
      <c r="P4" s="1" t="s">
        <v>3297</v>
      </c>
      <c r="Q4" s="104">
        <v>19.0</v>
      </c>
      <c r="R4" s="1" t="s">
        <v>3301</v>
      </c>
      <c r="S4" s="1" t="s">
        <v>1775</v>
      </c>
      <c r="T4" s="1" t="s">
        <v>3297</v>
      </c>
      <c r="U4" s="104">
        <v>37.0</v>
      </c>
      <c r="V4" s="69"/>
      <c r="W4" s="1" t="s">
        <v>3302</v>
      </c>
      <c r="X4" s="17" t="s">
        <v>1712</v>
      </c>
      <c r="Y4" s="17" t="s">
        <v>3297</v>
      </c>
      <c r="Z4" s="104">
        <v>33.0</v>
      </c>
      <c r="AA4" s="1" t="s">
        <v>3303</v>
      </c>
      <c r="AB4" s="1" t="s">
        <v>722</v>
      </c>
      <c r="AC4" s="1" t="s">
        <v>3297</v>
      </c>
    </row>
    <row r="5">
      <c r="A5" s="1" t="s">
        <v>3296</v>
      </c>
      <c r="B5" s="17" t="s">
        <v>875</v>
      </c>
      <c r="C5" s="17" t="s">
        <v>3297</v>
      </c>
      <c r="D5" s="104">
        <v>2.0</v>
      </c>
      <c r="E5" s="69"/>
      <c r="F5" s="1" t="s">
        <v>3298</v>
      </c>
      <c r="G5" s="1" t="s">
        <v>800</v>
      </c>
      <c r="H5" s="1" t="s">
        <v>3297</v>
      </c>
      <c r="I5" s="104"/>
      <c r="J5" s="1" t="s">
        <v>3299</v>
      </c>
      <c r="K5" s="1" t="s">
        <v>542</v>
      </c>
      <c r="L5" s="1" t="s">
        <v>3297</v>
      </c>
      <c r="M5" s="104"/>
      <c r="N5" s="1" t="s">
        <v>3300</v>
      </c>
      <c r="O5" s="1" t="s">
        <v>636</v>
      </c>
      <c r="P5" s="1" t="s">
        <v>3297</v>
      </c>
      <c r="Q5" s="104"/>
      <c r="R5" s="1" t="s">
        <v>3301</v>
      </c>
      <c r="S5" s="1" t="s">
        <v>2091</v>
      </c>
      <c r="T5" s="1" t="s">
        <v>3297</v>
      </c>
      <c r="U5" s="104"/>
      <c r="V5" s="69"/>
      <c r="W5" s="1" t="s">
        <v>3302</v>
      </c>
      <c r="X5" s="17" t="s">
        <v>1798</v>
      </c>
      <c r="Y5" s="17" t="s">
        <v>3297</v>
      </c>
      <c r="Z5" s="104">
        <v>38.0</v>
      </c>
      <c r="AA5" s="1" t="s">
        <v>3303</v>
      </c>
      <c r="AB5" s="1" t="s">
        <v>64</v>
      </c>
      <c r="AC5" s="1" t="s">
        <v>3297</v>
      </c>
    </row>
    <row r="6">
      <c r="A6" s="1" t="s">
        <v>3296</v>
      </c>
      <c r="B6" s="17" t="s">
        <v>935</v>
      </c>
      <c r="C6" s="17" t="s">
        <v>3297</v>
      </c>
      <c r="D6" s="104">
        <v>3.0</v>
      </c>
      <c r="E6" s="69"/>
      <c r="F6" s="1" t="s">
        <v>3298</v>
      </c>
      <c r="G6" s="1" t="s">
        <v>1240</v>
      </c>
      <c r="H6" s="1" t="s">
        <v>3297</v>
      </c>
      <c r="I6" s="104">
        <v>13.0</v>
      </c>
      <c r="J6" s="1" t="s">
        <v>3299</v>
      </c>
      <c r="K6" s="1" t="s">
        <v>1959</v>
      </c>
      <c r="L6" s="1" t="s">
        <v>3297</v>
      </c>
      <c r="M6" s="104"/>
      <c r="N6" s="1" t="s">
        <v>3300</v>
      </c>
      <c r="O6" s="1" t="s">
        <v>2024</v>
      </c>
      <c r="P6" s="1" t="s">
        <v>3297</v>
      </c>
      <c r="Q6" s="104"/>
      <c r="R6" s="1" t="s">
        <v>3301</v>
      </c>
      <c r="S6" s="1" t="s">
        <v>1774</v>
      </c>
      <c r="T6" s="1" t="s">
        <v>3297</v>
      </c>
      <c r="U6" s="104">
        <v>36.0</v>
      </c>
      <c r="V6" s="69"/>
      <c r="W6" s="1" t="s">
        <v>3302</v>
      </c>
      <c r="X6" s="17" t="s">
        <v>1671</v>
      </c>
      <c r="Y6" s="17" t="s">
        <v>3297</v>
      </c>
      <c r="Z6" s="104">
        <v>32.0</v>
      </c>
      <c r="AA6" s="1" t="s">
        <v>3303</v>
      </c>
      <c r="AB6" s="1" t="s">
        <v>799</v>
      </c>
      <c r="AC6" s="1" t="s">
        <v>3297</v>
      </c>
    </row>
    <row r="7">
      <c r="A7" s="1" t="s">
        <v>3296</v>
      </c>
      <c r="B7" s="17" t="s">
        <v>957</v>
      </c>
      <c r="C7" s="17" t="s">
        <v>3297</v>
      </c>
      <c r="D7" s="104">
        <v>4.0</v>
      </c>
      <c r="E7" s="69"/>
      <c r="F7" s="1" t="s">
        <v>3298</v>
      </c>
      <c r="G7" s="1" t="s">
        <v>1287</v>
      </c>
      <c r="H7" s="1" t="s">
        <v>3297</v>
      </c>
      <c r="I7" s="104">
        <v>14.0</v>
      </c>
      <c r="J7" s="1" t="s">
        <v>3299</v>
      </c>
      <c r="K7" s="1" t="s">
        <v>1470</v>
      </c>
      <c r="L7" s="1" t="s">
        <v>3297</v>
      </c>
      <c r="M7" s="104">
        <v>25.0</v>
      </c>
      <c r="N7" s="1" t="s">
        <v>3300</v>
      </c>
      <c r="O7" s="1" t="s">
        <v>1557</v>
      </c>
      <c r="P7" s="1" t="s">
        <v>3297</v>
      </c>
      <c r="Q7" s="104">
        <v>29.0</v>
      </c>
      <c r="R7" s="1" t="s">
        <v>3301</v>
      </c>
      <c r="S7" s="1" t="s">
        <v>1618</v>
      </c>
      <c r="T7" s="1" t="s">
        <v>3297</v>
      </c>
      <c r="U7" s="104">
        <v>31.0</v>
      </c>
      <c r="V7" s="69"/>
      <c r="W7" s="1" t="s">
        <v>3302</v>
      </c>
      <c r="X7" s="17" t="s">
        <v>571</v>
      </c>
      <c r="Y7" s="17" t="s">
        <v>3297</v>
      </c>
      <c r="Z7" s="104"/>
      <c r="AA7" s="1" t="s">
        <v>3303</v>
      </c>
      <c r="AB7" s="1" t="s">
        <v>128</v>
      </c>
      <c r="AC7" s="1" t="s">
        <v>3297</v>
      </c>
    </row>
    <row r="8">
      <c r="A8" s="1" t="s">
        <v>3296</v>
      </c>
      <c r="B8" s="17" t="s">
        <v>973</v>
      </c>
      <c r="C8" s="17" t="s">
        <v>3297</v>
      </c>
      <c r="D8" s="104">
        <v>5.0</v>
      </c>
      <c r="E8" s="69"/>
      <c r="F8" s="1" t="s">
        <v>3298</v>
      </c>
      <c r="G8" s="1" t="s">
        <v>825</v>
      </c>
      <c r="H8" s="1" t="s">
        <v>3297</v>
      </c>
      <c r="I8" s="104"/>
      <c r="J8" s="1" t="s">
        <v>3299</v>
      </c>
      <c r="K8" s="1" t="s">
        <v>1423</v>
      </c>
      <c r="L8" s="1" t="s">
        <v>3297</v>
      </c>
      <c r="M8" s="104">
        <v>24.0</v>
      </c>
      <c r="N8" s="1" t="s">
        <v>3300</v>
      </c>
      <c r="O8" s="1" t="s">
        <v>2048</v>
      </c>
      <c r="P8" s="1" t="s">
        <v>3297</v>
      </c>
      <c r="Q8" s="104"/>
      <c r="R8" s="1" t="s">
        <v>3301</v>
      </c>
      <c r="S8" s="1" t="s">
        <v>2147</v>
      </c>
      <c r="T8" s="1" t="s">
        <v>3297</v>
      </c>
      <c r="U8" s="104"/>
      <c r="V8" s="69"/>
      <c r="W8" s="1" t="s">
        <v>3302</v>
      </c>
      <c r="X8" s="17" t="s">
        <v>1362</v>
      </c>
      <c r="Y8" s="17" t="s">
        <v>3297</v>
      </c>
      <c r="Z8" s="104">
        <v>22.0</v>
      </c>
      <c r="AA8" s="1" t="s">
        <v>3303</v>
      </c>
      <c r="AB8" s="1" t="s">
        <v>189</v>
      </c>
      <c r="AC8" s="1" t="s">
        <v>3297</v>
      </c>
    </row>
    <row r="9">
      <c r="A9" s="1" t="s">
        <v>3296</v>
      </c>
      <c r="B9" s="17" t="s">
        <v>986</v>
      </c>
      <c r="C9" s="17" t="s">
        <v>3297</v>
      </c>
      <c r="D9" s="104">
        <v>6.0</v>
      </c>
      <c r="E9" s="69"/>
      <c r="F9" s="1" t="s">
        <v>3298</v>
      </c>
      <c r="G9" s="1" t="s">
        <v>1288</v>
      </c>
      <c r="H9" s="1" t="s">
        <v>3297</v>
      </c>
      <c r="I9" s="104">
        <v>15.0</v>
      </c>
      <c r="J9" s="1" t="s">
        <v>3299</v>
      </c>
      <c r="K9" s="1" t="s">
        <v>1494</v>
      </c>
      <c r="L9" s="1" t="s">
        <v>3297</v>
      </c>
      <c r="M9" s="104">
        <v>26.0</v>
      </c>
      <c r="N9" s="1" t="s">
        <v>3300</v>
      </c>
      <c r="O9" s="1" t="s">
        <v>1327</v>
      </c>
      <c r="P9" s="1" t="s">
        <v>3297</v>
      </c>
      <c r="Q9" s="104">
        <v>20.0</v>
      </c>
      <c r="R9" s="1" t="s">
        <v>3301</v>
      </c>
      <c r="S9" s="1" t="s">
        <v>2204</v>
      </c>
      <c r="T9" s="1" t="s">
        <v>3297</v>
      </c>
      <c r="U9" s="104">
        <v>21.0</v>
      </c>
      <c r="V9" s="69"/>
      <c r="W9" s="1" t="s">
        <v>3302</v>
      </c>
      <c r="X9" s="17" t="s">
        <v>1824</v>
      </c>
      <c r="Y9" s="17" t="s">
        <v>3297</v>
      </c>
      <c r="Z9" s="104">
        <v>39.0</v>
      </c>
      <c r="AA9" s="1" t="s">
        <v>3303</v>
      </c>
      <c r="AB9" s="1" t="s">
        <v>256</v>
      </c>
      <c r="AC9" s="1" t="s">
        <v>3297</v>
      </c>
    </row>
    <row r="10">
      <c r="A10" s="1" t="s">
        <v>3296</v>
      </c>
      <c r="B10" s="17" t="s">
        <v>1030</v>
      </c>
      <c r="C10" s="17" t="s">
        <v>3297</v>
      </c>
      <c r="D10" s="104">
        <v>7.0</v>
      </c>
      <c r="E10" s="69"/>
      <c r="F10" s="1" t="s">
        <v>3298</v>
      </c>
      <c r="G10" s="1" t="s">
        <v>1153</v>
      </c>
      <c r="H10" s="1" t="s">
        <v>3297</v>
      </c>
      <c r="I10" s="104">
        <v>10.0</v>
      </c>
      <c r="J10" s="1" t="s">
        <v>3299</v>
      </c>
      <c r="K10" s="1" t="s">
        <v>1997</v>
      </c>
      <c r="L10" s="1" t="s">
        <v>3297</v>
      </c>
      <c r="M10" s="104"/>
      <c r="N10" s="1" t="s">
        <v>3300</v>
      </c>
      <c r="O10" s="1" t="s">
        <v>1755</v>
      </c>
      <c r="P10" s="1" t="s">
        <v>3297</v>
      </c>
      <c r="Q10" s="104">
        <v>35.0</v>
      </c>
      <c r="R10" s="1" t="s">
        <v>3301</v>
      </c>
      <c r="S10" s="1" t="s">
        <v>483</v>
      </c>
      <c r="T10" s="1" t="s">
        <v>3297</v>
      </c>
      <c r="U10" s="104"/>
      <c r="V10" s="69"/>
      <c r="W10" s="1" t="s">
        <v>3302</v>
      </c>
      <c r="X10" s="17" t="s">
        <v>1862</v>
      </c>
      <c r="Y10" s="17" t="s">
        <v>3297</v>
      </c>
      <c r="Z10" s="104">
        <v>40.0</v>
      </c>
      <c r="AA10" s="1" t="s">
        <v>3303</v>
      </c>
      <c r="AB10" s="1" t="s">
        <v>284</v>
      </c>
      <c r="AC10" s="1" t="s">
        <v>3297</v>
      </c>
    </row>
    <row r="11">
      <c r="A11" s="1" t="s">
        <v>3296</v>
      </c>
      <c r="B11" s="17" t="s">
        <v>1057</v>
      </c>
      <c r="C11" s="17" t="s">
        <v>3297</v>
      </c>
      <c r="D11" s="104">
        <v>8.0</v>
      </c>
      <c r="E11" s="69"/>
      <c r="F11" s="1" t="s">
        <v>3298</v>
      </c>
      <c r="G11" s="1" t="s">
        <v>1901</v>
      </c>
      <c r="H11" s="1" t="s">
        <v>3297</v>
      </c>
      <c r="I11" s="104">
        <v>16.0</v>
      </c>
      <c r="J11" s="1" t="s">
        <v>3299</v>
      </c>
      <c r="K11" s="1" t="s">
        <v>686</v>
      </c>
      <c r="L11" s="1" t="s">
        <v>3297</v>
      </c>
      <c r="M11" s="104"/>
      <c r="N11" s="1" t="s">
        <v>3300</v>
      </c>
      <c r="O11" s="1" t="s">
        <v>424</v>
      </c>
      <c r="P11" s="1" t="s">
        <v>3297</v>
      </c>
      <c r="Q11" s="104"/>
      <c r="R11" s="1" t="s">
        <v>3301</v>
      </c>
      <c r="S11" s="1" t="s">
        <v>665</v>
      </c>
      <c r="T11" s="1" t="s">
        <v>3297</v>
      </c>
      <c r="U11" s="104"/>
      <c r="V11" s="69"/>
      <c r="W11" s="1" t="s">
        <v>3302</v>
      </c>
      <c r="X11" s="17" t="s">
        <v>587</v>
      </c>
      <c r="Y11" s="17" t="s">
        <v>3297</v>
      </c>
      <c r="Z11" s="104"/>
      <c r="AA11" s="1" t="s">
        <v>3303</v>
      </c>
      <c r="AB11" s="1" t="s">
        <v>2202</v>
      </c>
      <c r="AC11" s="1" t="s">
        <v>3297</v>
      </c>
    </row>
    <row r="12">
      <c r="A12" s="1" t="s">
        <v>3296</v>
      </c>
      <c r="B12" s="17" t="s">
        <v>378</v>
      </c>
      <c r="C12" s="17" t="s">
        <v>3297</v>
      </c>
      <c r="D12" s="104"/>
      <c r="E12" s="69"/>
      <c r="F12" s="1" t="s">
        <v>3298</v>
      </c>
      <c r="G12" s="1" t="s">
        <v>1289</v>
      </c>
      <c r="H12" s="1" t="s">
        <v>3297</v>
      </c>
      <c r="I12" s="104">
        <v>17.0</v>
      </c>
      <c r="J12" s="1" t="s">
        <v>3299</v>
      </c>
      <c r="K12" s="1" t="s">
        <v>1519</v>
      </c>
      <c r="L12" s="1" t="s">
        <v>3297</v>
      </c>
      <c r="M12" s="104">
        <v>27.0</v>
      </c>
      <c r="N12" s="1" t="s">
        <v>3300</v>
      </c>
      <c r="O12" s="1" t="s">
        <v>1520</v>
      </c>
      <c r="P12" s="1" t="s">
        <v>3297</v>
      </c>
      <c r="Q12" s="104">
        <v>28.0</v>
      </c>
      <c r="R12" s="1" t="s">
        <v>3301</v>
      </c>
      <c r="S12" s="1" t="s">
        <v>1595</v>
      </c>
      <c r="T12" s="1" t="s">
        <v>3297</v>
      </c>
      <c r="U12" s="104">
        <v>30.0</v>
      </c>
      <c r="V12" s="69"/>
      <c r="W12" s="1" t="s">
        <v>3302</v>
      </c>
      <c r="X12" s="17" t="s">
        <v>516</v>
      </c>
      <c r="Y12" s="17" t="s">
        <v>3297</v>
      </c>
      <c r="Z12" s="104"/>
      <c r="AA12" s="1" t="s">
        <v>3303</v>
      </c>
      <c r="AB12" s="1" t="s">
        <v>318</v>
      </c>
      <c r="AC12" s="1" t="s">
        <v>3297</v>
      </c>
    </row>
    <row r="13">
      <c r="A13" s="1" t="s">
        <v>3296</v>
      </c>
      <c r="B13" s="17" t="s">
        <v>1113</v>
      </c>
      <c r="C13" s="17" t="s">
        <v>3297</v>
      </c>
      <c r="D13" s="104">
        <v>9.0</v>
      </c>
      <c r="E13" s="69"/>
      <c r="F13" s="1" t="s">
        <v>3298</v>
      </c>
      <c r="G13" s="1" t="s">
        <v>2203</v>
      </c>
      <c r="H13" s="1" t="s">
        <v>3297</v>
      </c>
      <c r="I13" s="104">
        <v>18.0</v>
      </c>
      <c r="J13" s="1" t="s">
        <v>3299</v>
      </c>
      <c r="K13" s="1" t="s">
        <v>1057</v>
      </c>
      <c r="L13" s="1" t="s">
        <v>3297</v>
      </c>
      <c r="M13" s="104">
        <v>8.0</v>
      </c>
      <c r="N13" s="1" t="s">
        <v>3300</v>
      </c>
      <c r="O13" s="1" t="s">
        <v>448</v>
      </c>
      <c r="P13" s="1" t="s">
        <v>3297</v>
      </c>
      <c r="Q13" s="104"/>
      <c r="R13" s="1" t="s">
        <v>3301</v>
      </c>
      <c r="S13" s="1" t="s">
        <v>935</v>
      </c>
      <c r="T13" s="1" t="s">
        <v>3297</v>
      </c>
      <c r="U13" s="104">
        <v>3.0</v>
      </c>
      <c r="V13" s="69"/>
      <c r="W13" s="1" t="s">
        <v>3302</v>
      </c>
      <c r="X13" s="17" t="s">
        <v>957</v>
      </c>
      <c r="Y13" s="17" t="s">
        <v>3297</v>
      </c>
      <c r="Z13" s="104">
        <v>4.0</v>
      </c>
      <c r="AA13" s="1" t="s">
        <v>3303</v>
      </c>
      <c r="AB13" s="1" t="s">
        <v>341</v>
      </c>
      <c r="AC13" s="1" t="s">
        <v>3297</v>
      </c>
    </row>
    <row r="14">
      <c r="A14" s="1" t="s">
        <v>3296</v>
      </c>
      <c r="B14" s="17" t="s">
        <v>1153</v>
      </c>
      <c r="C14" s="17" t="s">
        <v>3297</v>
      </c>
      <c r="D14" s="104">
        <v>10.0</v>
      </c>
      <c r="E14" s="69"/>
      <c r="F14" s="1" t="s">
        <v>3298</v>
      </c>
      <c r="G14" s="1" t="s">
        <v>1113</v>
      </c>
      <c r="H14" s="1" t="s">
        <v>3297</v>
      </c>
      <c r="I14" s="104">
        <v>9.0</v>
      </c>
      <c r="J14" s="1" t="s">
        <v>3299</v>
      </c>
      <c r="K14" s="1" t="s">
        <v>1240</v>
      </c>
      <c r="L14" s="1" t="s">
        <v>3297</v>
      </c>
      <c r="M14" s="104">
        <v>13.0</v>
      </c>
      <c r="N14" s="1" t="s">
        <v>3300</v>
      </c>
      <c r="O14" s="1" t="s">
        <v>1030</v>
      </c>
      <c r="P14" s="1" t="s">
        <v>3297</v>
      </c>
      <c r="Q14" s="104">
        <v>7.0</v>
      </c>
      <c r="R14" s="1" t="s">
        <v>3301</v>
      </c>
      <c r="S14" s="1" t="s">
        <v>850</v>
      </c>
      <c r="T14" s="1" t="s">
        <v>3297</v>
      </c>
      <c r="U14" s="104">
        <v>1.0</v>
      </c>
      <c r="V14" s="69"/>
      <c r="W14" s="1" t="s">
        <v>3302</v>
      </c>
      <c r="X14" s="17" t="s">
        <v>875</v>
      </c>
      <c r="Y14" s="17" t="s">
        <v>3297</v>
      </c>
      <c r="Z14" s="104">
        <v>2.0</v>
      </c>
      <c r="AA14" s="1" t="s">
        <v>3303</v>
      </c>
      <c r="AB14" s="1" t="s">
        <v>369</v>
      </c>
      <c r="AC14" s="1" t="s">
        <v>3297</v>
      </c>
    </row>
    <row r="15">
      <c r="A15" s="1" t="s">
        <v>3296</v>
      </c>
      <c r="B15" s="17" t="s">
        <v>1154</v>
      </c>
      <c r="C15" s="17" t="s">
        <v>3297</v>
      </c>
      <c r="D15" s="104">
        <v>11.0</v>
      </c>
      <c r="E15" s="69"/>
      <c r="F15" s="1" t="s">
        <v>3298</v>
      </c>
      <c r="G15" s="1" t="s">
        <v>986</v>
      </c>
      <c r="H15" s="1" t="s">
        <v>3297</v>
      </c>
      <c r="I15" s="104">
        <v>6.0</v>
      </c>
      <c r="J15" s="1" t="s">
        <v>3299</v>
      </c>
      <c r="K15" s="1" t="s">
        <v>1181</v>
      </c>
      <c r="L15" s="1" t="s">
        <v>3297</v>
      </c>
      <c r="M15" s="104">
        <v>12.0</v>
      </c>
      <c r="N15" s="1" t="s">
        <v>3300</v>
      </c>
      <c r="O15" s="1" t="s">
        <v>973</v>
      </c>
      <c r="P15" s="1" t="s">
        <v>3297</v>
      </c>
      <c r="Q15" s="104">
        <v>5.0</v>
      </c>
      <c r="R15" s="1" t="s">
        <v>3301</v>
      </c>
      <c r="S15" s="1" t="s">
        <v>1288</v>
      </c>
      <c r="T15" s="1" t="s">
        <v>3297</v>
      </c>
      <c r="U15" s="104">
        <v>15.0</v>
      </c>
      <c r="V15" s="69"/>
      <c r="W15" s="1" t="s">
        <v>3302</v>
      </c>
      <c r="X15" s="17" t="s">
        <v>1289</v>
      </c>
      <c r="Y15" s="17" t="s">
        <v>3297</v>
      </c>
      <c r="Z15" s="104">
        <v>17.0</v>
      </c>
      <c r="AA15" s="1" t="s">
        <v>3303</v>
      </c>
      <c r="AB15" s="1" t="s">
        <v>378</v>
      </c>
      <c r="AC15" s="1" t="s">
        <v>3297</v>
      </c>
    </row>
    <row r="16">
      <c r="A16" s="1" t="s">
        <v>3296</v>
      </c>
      <c r="B16" s="17" t="s">
        <v>256</v>
      </c>
      <c r="C16" s="17" t="s">
        <v>3297</v>
      </c>
      <c r="D16" s="104"/>
      <c r="E16" s="69"/>
      <c r="F16" s="1" t="s">
        <v>3298</v>
      </c>
      <c r="G16" s="1" t="s">
        <v>799</v>
      </c>
      <c r="H16" s="1" t="s">
        <v>3297</v>
      </c>
      <c r="I16" s="104"/>
      <c r="J16" s="1" t="s">
        <v>3299</v>
      </c>
      <c r="K16" s="1" t="s">
        <v>318</v>
      </c>
      <c r="L16" s="1" t="s">
        <v>3297</v>
      </c>
      <c r="M16" s="104"/>
      <c r="N16" s="1" t="s">
        <v>3300</v>
      </c>
      <c r="O16" s="1" t="s">
        <v>1287</v>
      </c>
      <c r="P16" s="1" t="s">
        <v>3297</v>
      </c>
      <c r="Q16" s="104">
        <v>14.0</v>
      </c>
      <c r="R16" s="1" t="s">
        <v>3301</v>
      </c>
      <c r="S16" s="1" t="s">
        <v>2202</v>
      </c>
      <c r="T16" s="1" t="s">
        <v>3297</v>
      </c>
      <c r="U16" s="104"/>
      <c r="V16" s="69"/>
      <c r="W16" s="1" t="s">
        <v>3302</v>
      </c>
      <c r="X16" s="17" t="s">
        <v>1901</v>
      </c>
      <c r="Y16" s="17" t="s">
        <v>3297</v>
      </c>
      <c r="Z16" s="104">
        <v>16.0</v>
      </c>
      <c r="AA16" s="1" t="s">
        <v>3303</v>
      </c>
      <c r="AB16" s="1" t="s">
        <v>800</v>
      </c>
      <c r="AC16" s="1" t="s">
        <v>3297</v>
      </c>
    </row>
    <row r="17">
      <c r="A17" s="1" t="s">
        <v>3296</v>
      </c>
      <c r="B17" s="17" t="s">
        <v>128</v>
      </c>
      <c r="C17" s="17" t="s">
        <v>3297</v>
      </c>
      <c r="D17" s="104"/>
      <c r="E17" s="69"/>
      <c r="F17" s="1" t="s">
        <v>3298</v>
      </c>
      <c r="G17" s="1" t="s">
        <v>722</v>
      </c>
      <c r="H17" s="1" t="s">
        <v>3297</v>
      </c>
      <c r="I17" s="104"/>
      <c r="J17" s="1" t="s">
        <v>3299</v>
      </c>
      <c r="K17" s="1" t="s">
        <v>284</v>
      </c>
      <c r="L17" s="1" t="s">
        <v>3297</v>
      </c>
      <c r="M17" s="104"/>
      <c r="N17" s="1" t="s">
        <v>3300</v>
      </c>
      <c r="O17" s="1" t="s">
        <v>2203</v>
      </c>
      <c r="P17" s="1" t="s">
        <v>3297</v>
      </c>
      <c r="Q17" s="104">
        <v>18.0</v>
      </c>
      <c r="R17" s="1" t="s">
        <v>3301</v>
      </c>
      <c r="S17" s="1" t="s">
        <v>189</v>
      </c>
      <c r="T17" s="1" t="s">
        <v>3297</v>
      </c>
      <c r="U17" s="104"/>
      <c r="V17" s="69"/>
      <c r="W17" s="1" t="s">
        <v>3302</v>
      </c>
      <c r="X17" s="17" t="s">
        <v>341</v>
      </c>
      <c r="Y17" s="17" t="s">
        <v>3297</v>
      </c>
      <c r="Z17" s="104"/>
      <c r="AA17" s="1" t="s">
        <v>3303</v>
      </c>
      <c r="AB17" s="1" t="s">
        <v>825</v>
      </c>
      <c r="AC17" s="1" t="s">
        <v>3297</v>
      </c>
    </row>
    <row r="18">
      <c r="A18" s="1" t="s">
        <v>3296</v>
      </c>
      <c r="B18" s="17" t="s">
        <v>636</v>
      </c>
      <c r="C18" s="17" t="s">
        <v>3304</v>
      </c>
      <c r="D18" s="104"/>
      <c r="E18" s="69"/>
      <c r="F18" s="1" t="s">
        <v>3298</v>
      </c>
      <c r="G18" s="1" t="s">
        <v>1300</v>
      </c>
      <c r="H18" s="1" t="s">
        <v>3297</v>
      </c>
      <c r="I18" s="104">
        <v>19.0</v>
      </c>
      <c r="J18" s="1" t="s">
        <v>3299</v>
      </c>
      <c r="K18" s="1" t="s">
        <v>1520</v>
      </c>
      <c r="L18" s="1" t="s">
        <v>3297</v>
      </c>
      <c r="M18" s="104">
        <v>28.0</v>
      </c>
      <c r="N18" s="1" t="s">
        <v>3300</v>
      </c>
      <c r="O18" s="1" t="s">
        <v>64</v>
      </c>
      <c r="P18" s="1" t="s">
        <v>3297</v>
      </c>
      <c r="Q18" s="104"/>
      <c r="R18" s="1" t="s">
        <v>3301</v>
      </c>
      <c r="S18" s="1" t="s">
        <v>1755</v>
      </c>
      <c r="T18" s="1" t="s">
        <v>3297</v>
      </c>
      <c r="U18" s="104">
        <v>35.0</v>
      </c>
      <c r="V18" s="69"/>
      <c r="W18" s="1" t="s">
        <v>3302</v>
      </c>
      <c r="X18" s="17" t="s">
        <v>2048</v>
      </c>
      <c r="Y18" s="17" t="s">
        <v>3297</v>
      </c>
      <c r="Z18" s="104"/>
      <c r="AA18" s="1" t="s">
        <v>3303</v>
      </c>
      <c r="AB18" s="1" t="s">
        <v>424</v>
      </c>
      <c r="AC18" s="1" t="s">
        <v>3297</v>
      </c>
    </row>
    <row r="19">
      <c r="A19" s="1" t="s">
        <v>3296</v>
      </c>
      <c r="B19" s="17" t="s">
        <v>665</v>
      </c>
      <c r="C19" s="17" t="s">
        <v>3304</v>
      </c>
      <c r="D19" s="104"/>
      <c r="E19" s="69"/>
      <c r="F19" s="1" t="s">
        <v>3298</v>
      </c>
      <c r="G19" s="1" t="s">
        <v>1327</v>
      </c>
      <c r="H19" s="1" t="s">
        <v>3297</v>
      </c>
      <c r="I19" s="104">
        <v>20.0</v>
      </c>
      <c r="J19" s="1" t="s">
        <v>3299</v>
      </c>
      <c r="K19" s="1" t="s">
        <v>1557</v>
      </c>
      <c r="L19" s="1" t="s">
        <v>3297</v>
      </c>
      <c r="M19" s="104">
        <v>29.0</v>
      </c>
      <c r="N19" s="1" t="s">
        <v>3300</v>
      </c>
      <c r="O19" s="1" t="s">
        <v>8</v>
      </c>
      <c r="P19" s="1" t="s">
        <v>3297</v>
      </c>
      <c r="Q19" s="104"/>
      <c r="R19" s="1" t="s">
        <v>3301</v>
      </c>
      <c r="S19" s="1" t="s">
        <v>1738</v>
      </c>
      <c r="T19" s="1" t="s">
        <v>3297</v>
      </c>
      <c r="U19" s="104">
        <v>34.0</v>
      </c>
      <c r="V19" s="69"/>
      <c r="W19" s="1" t="s">
        <v>3302</v>
      </c>
      <c r="X19" s="151" t="s">
        <v>2024</v>
      </c>
      <c r="Y19" s="151" t="s">
        <v>3297</v>
      </c>
      <c r="Z19" s="104"/>
      <c r="AA19" s="1" t="s">
        <v>3303</v>
      </c>
      <c r="AB19" s="1" t="s">
        <v>448</v>
      </c>
      <c r="AC19" s="1" t="s">
        <v>3297</v>
      </c>
    </row>
    <row r="20">
      <c r="A20" s="1" t="s">
        <v>3296</v>
      </c>
      <c r="B20" s="17" t="s">
        <v>571</v>
      </c>
      <c r="C20" s="17" t="s">
        <v>3304</v>
      </c>
      <c r="D20" s="104"/>
      <c r="E20" s="69"/>
      <c r="F20" s="1" t="s">
        <v>3298</v>
      </c>
      <c r="G20" s="1" t="s">
        <v>2204</v>
      </c>
      <c r="H20" s="1" t="s">
        <v>3297</v>
      </c>
      <c r="I20" s="104">
        <v>21.0</v>
      </c>
      <c r="J20" s="1" t="s">
        <v>3299</v>
      </c>
      <c r="K20" s="1" t="s">
        <v>1595</v>
      </c>
      <c r="L20" s="1" t="s">
        <v>3297</v>
      </c>
      <c r="M20" s="104">
        <v>30.0</v>
      </c>
      <c r="N20" s="1" t="s">
        <v>3300</v>
      </c>
      <c r="O20" s="1" t="s">
        <v>1774</v>
      </c>
      <c r="P20" s="1" t="s">
        <v>3297</v>
      </c>
      <c r="Q20" s="104">
        <v>36.0</v>
      </c>
      <c r="R20" s="1" t="s">
        <v>3301</v>
      </c>
      <c r="S20" s="1" t="s">
        <v>1824</v>
      </c>
      <c r="T20" s="1" t="s">
        <v>3297</v>
      </c>
      <c r="U20" s="104">
        <v>39.0</v>
      </c>
      <c r="V20" s="69"/>
      <c r="W20" s="1" t="s">
        <v>3302</v>
      </c>
      <c r="X20" s="151" t="s">
        <v>2147</v>
      </c>
      <c r="Y20" s="151" t="s">
        <v>3297</v>
      </c>
      <c r="Z20" s="104"/>
      <c r="AA20" s="1" t="s">
        <v>3303</v>
      </c>
      <c r="AB20" s="1" t="s">
        <v>483</v>
      </c>
      <c r="AC20" s="1" t="s">
        <v>3297</v>
      </c>
    </row>
    <row r="21">
      <c r="A21" s="1" t="s">
        <v>3296</v>
      </c>
      <c r="B21" s="17" t="s">
        <v>587</v>
      </c>
      <c r="C21" s="17" t="s">
        <v>3304</v>
      </c>
      <c r="D21" s="104"/>
      <c r="E21" s="69"/>
      <c r="F21" s="1" t="s">
        <v>3298</v>
      </c>
      <c r="G21" s="1" t="s">
        <v>1362</v>
      </c>
      <c r="H21" s="1" t="s">
        <v>3297</v>
      </c>
      <c r="I21" s="104">
        <v>22.0</v>
      </c>
      <c r="J21" s="1" t="s">
        <v>3299</v>
      </c>
      <c r="K21" s="1" t="s">
        <v>1618</v>
      </c>
      <c r="L21" s="1" t="s">
        <v>3297</v>
      </c>
      <c r="M21" s="104">
        <v>31.0</v>
      </c>
      <c r="N21" s="1" t="s">
        <v>3300</v>
      </c>
      <c r="O21" s="1" t="s">
        <v>1775</v>
      </c>
      <c r="P21" s="1" t="s">
        <v>3297</v>
      </c>
      <c r="Q21" s="104">
        <v>37.0</v>
      </c>
      <c r="R21" s="1" t="s">
        <v>3301</v>
      </c>
      <c r="S21" s="1" t="s">
        <v>1862</v>
      </c>
      <c r="T21" s="1" t="s">
        <v>3297</v>
      </c>
      <c r="U21" s="104">
        <v>40.0</v>
      </c>
      <c r="V21" s="69"/>
      <c r="W21" s="1" t="s">
        <v>3302</v>
      </c>
      <c r="X21" s="151" t="s">
        <v>2091</v>
      </c>
      <c r="Y21" s="151" t="s">
        <v>3297</v>
      </c>
      <c r="Z21" s="104"/>
      <c r="AA21" s="1" t="s">
        <v>3303</v>
      </c>
      <c r="AB21" s="1" t="s">
        <v>514</v>
      </c>
      <c r="AC21" s="1" t="s">
        <v>3297</v>
      </c>
    </row>
    <row r="22">
      <c r="A22" s="1" t="s">
        <v>3296</v>
      </c>
      <c r="B22" s="17" t="s">
        <v>686</v>
      </c>
      <c r="C22" s="17" t="s">
        <v>3304</v>
      </c>
      <c r="D22" s="104"/>
      <c r="E22" s="69"/>
      <c r="F22" s="1" t="s">
        <v>3298</v>
      </c>
      <c r="G22" s="1" t="s">
        <v>1394</v>
      </c>
      <c r="H22" s="1" t="s">
        <v>3297</v>
      </c>
      <c r="I22" s="104">
        <v>23.0</v>
      </c>
      <c r="J22" s="1" t="s">
        <v>3299</v>
      </c>
      <c r="K22" s="1" t="s">
        <v>1671</v>
      </c>
      <c r="L22" s="1" t="s">
        <v>3297</v>
      </c>
      <c r="M22" s="104">
        <v>32.0</v>
      </c>
      <c r="N22" s="1" t="s">
        <v>3300</v>
      </c>
      <c r="O22" s="1" t="s">
        <v>1798</v>
      </c>
      <c r="P22" s="1" t="s">
        <v>3297</v>
      </c>
      <c r="Q22" s="104">
        <v>38.0</v>
      </c>
      <c r="R22" s="1" t="s">
        <v>3301</v>
      </c>
      <c r="S22" s="1" t="s">
        <v>1494</v>
      </c>
      <c r="T22" s="1" t="s">
        <v>3297</v>
      </c>
      <c r="U22" s="104">
        <v>26.0</v>
      </c>
      <c r="V22" s="69"/>
      <c r="W22" s="1" t="s">
        <v>3302</v>
      </c>
      <c r="X22" s="151" t="s">
        <v>1959</v>
      </c>
      <c r="Y22" s="151" t="s">
        <v>3297</v>
      </c>
      <c r="Z22" s="104"/>
      <c r="AA22" s="1" t="s">
        <v>3303</v>
      </c>
      <c r="AB22" s="1" t="s">
        <v>516</v>
      </c>
      <c r="AC22" s="1" t="s">
        <v>3297</v>
      </c>
    </row>
    <row r="23">
      <c r="A23" s="1" t="s">
        <v>3296</v>
      </c>
      <c r="B23" s="17" t="s">
        <v>598</v>
      </c>
      <c r="C23" s="17" t="s">
        <v>3304</v>
      </c>
      <c r="D23" s="104"/>
      <c r="E23" s="69"/>
      <c r="F23" s="1" t="s">
        <v>3298</v>
      </c>
      <c r="G23" s="1" t="s">
        <v>1423</v>
      </c>
      <c r="H23" s="1" t="s">
        <v>3297</v>
      </c>
      <c r="I23" s="104">
        <v>24.0</v>
      </c>
      <c r="J23" s="1" t="s">
        <v>3299</v>
      </c>
      <c r="K23" s="1" t="s">
        <v>1712</v>
      </c>
      <c r="L23" s="1" t="s">
        <v>3297</v>
      </c>
      <c r="M23" s="104">
        <v>33.0</v>
      </c>
      <c r="N23" s="1" t="s">
        <v>3300</v>
      </c>
      <c r="O23" s="1" t="s">
        <v>1519</v>
      </c>
      <c r="P23" s="1" t="s">
        <v>3297</v>
      </c>
      <c r="Q23" s="104">
        <v>27.0</v>
      </c>
      <c r="R23" s="1" t="s">
        <v>3301</v>
      </c>
      <c r="S23" s="1" t="s">
        <v>1470</v>
      </c>
      <c r="T23" s="1" t="s">
        <v>3297</v>
      </c>
      <c r="U23" s="104">
        <v>25.0</v>
      </c>
      <c r="V23" s="69"/>
      <c r="W23" s="1" t="s">
        <v>3302</v>
      </c>
      <c r="X23" s="17" t="s">
        <v>1997</v>
      </c>
      <c r="Y23" s="17" t="s">
        <v>3305</v>
      </c>
      <c r="Z23" s="104"/>
      <c r="AA23" s="1" t="s">
        <v>3303</v>
      </c>
      <c r="AB23" s="1" t="s">
        <v>2201</v>
      </c>
      <c r="AC23" s="1" t="s">
        <v>3297</v>
      </c>
    </row>
    <row r="24">
      <c r="A24" s="1" t="s">
        <v>3296</v>
      </c>
      <c r="B24" s="1"/>
      <c r="D24" s="104"/>
      <c r="E24" s="69"/>
      <c r="F24" s="1" t="s">
        <v>3298</v>
      </c>
      <c r="G24" s="1"/>
      <c r="H24" s="56"/>
      <c r="I24" s="104"/>
      <c r="J24" s="1" t="s">
        <v>3299</v>
      </c>
      <c r="M24" s="104"/>
      <c r="N24" s="1" t="s">
        <v>3300</v>
      </c>
      <c r="O24" s="56"/>
      <c r="Q24" s="104"/>
      <c r="R24" s="1" t="s">
        <v>3301</v>
      </c>
      <c r="S24" s="1"/>
      <c r="U24" s="104"/>
      <c r="V24" s="69"/>
      <c r="W24" s="1" t="s">
        <v>3302</v>
      </c>
      <c r="X24" s="1"/>
      <c r="Z24" s="104"/>
      <c r="AA24" s="1" t="s">
        <v>3303</v>
      </c>
      <c r="AB24" s="1" t="s">
        <v>542</v>
      </c>
      <c r="AC24" s="1" t="s">
        <v>3297</v>
      </c>
      <c r="AD24" s="17"/>
    </row>
    <row r="25">
      <c r="A25" s="1" t="s">
        <v>3296</v>
      </c>
      <c r="B25" s="56"/>
      <c r="D25" s="104"/>
      <c r="E25" s="69"/>
      <c r="F25" s="1" t="s">
        <v>3298</v>
      </c>
      <c r="G25" s="56"/>
      <c r="H25" s="56"/>
      <c r="I25" s="104"/>
      <c r="J25" s="1" t="s">
        <v>3299</v>
      </c>
      <c r="K25" s="1"/>
      <c r="M25" s="104"/>
      <c r="N25" s="1" t="s">
        <v>3300</v>
      </c>
      <c r="O25" s="56"/>
      <c r="Q25" s="104"/>
      <c r="R25" s="1" t="s">
        <v>3301</v>
      </c>
      <c r="S25" s="56"/>
      <c r="U25" s="104"/>
      <c r="V25" s="69"/>
      <c r="W25" s="1" t="s">
        <v>3302</v>
      </c>
      <c r="X25" s="1"/>
      <c r="Z25" s="104"/>
      <c r="AA25" s="1" t="s">
        <v>3303</v>
      </c>
      <c r="AB25" s="17" t="s">
        <v>636</v>
      </c>
      <c r="AC25" s="1" t="s">
        <v>3297</v>
      </c>
      <c r="AD25" s="26"/>
    </row>
    <row r="26">
      <c r="A26" s="1" t="s">
        <v>3296</v>
      </c>
      <c r="B26" s="56"/>
      <c r="D26" s="104"/>
      <c r="E26" s="69"/>
      <c r="F26" s="1" t="s">
        <v>3298</v>
      </c>
      <c r="G26" s="56"/>
      <c r="H26" s="56"/>
      <c r="I26" s="104"/>
      <c r="J26" s="1" t="s">
        <v>3299</v>
      </c>
      <c r="K26" s="56"/>
      <c r="M26" s="104"/>
      <c r="N26" s="1" t="s">
        <v>3300</v>
      </c>
      <c r="O26" s="56"/>
      <c r="Q26" s="104"/>
      <c r="R26" s="1" t="s">
        <v>3301</v>
      </c>
      <c r="S26" s="56"/>
      <c r="U26" s="104"/>
      <c r="V26" s="69"/>
      <c r="W26" s="1" t="s">
        <v>3302</v>
      </c>
      <c r="X26" s="152"/>
      <c r="Z26" s="104"/>
      <c r="AA26" s="1" t="s">
        <v>3303</v>
      </c>
      <c r="AB26" s="17" t="s">
        <v>665</v>
      </c>
      <c r="AC26" s="1" t="s">
        <v>3297</v>
      </c>
      <c r="AD26" s="26"/>
    </row>
    <row r="27">
      <c r="A27" s="1" t="s">
        <v>3296</v>
      </c>
      <c r="B27" s="56"/>
      <c r="D27" s="104"/>
      <c r="E27" s="69"/>
      <c r="F27" s="1" t="s">
        <v>3298</v>
      </c>
      <c r="G27" s="56"/>
      <c r="H27" s="56"/>
      <c r="I27" s="104"/>
      <c r="J27" s="1" t="s">
        <v>3299</v>
      </c>
      <c r="M27" s="104"/>
      <c r="N27" s="1" t="s">
        <v>3300</v>
      </c>
      <c r="O27" s="56"/>
      <c r="Q27" s="104"/>
      <c r="R27" s="1" t="s">
        <v>3301</v>
      </c>
      <c r="S27" s="56"/>
      <c r="U27" s="104"/>
      <c r="V27" s="69"/>
      <c r="W27" s="1" t="s">
        <v>3302</v>
      </c>
      <c r="X27" s="152"/>
      <c r="Z27" s="104"/>
      <c r="AA27" s="1" t="s">
        <v>3303</v>
      </c>
      <c r="AB27" s="17" t="s">
        <v>571</v>
      </c>
      <c r="AC27" s="1" t="s">
        <v>3297</v>
      </c>
      <c r="AD27" s="17"/>
    </row>
    <row r="28">
      <c r="A28" s="1" t="s">
        <v>3296</v>
      </c>
      <c r="B28" s="56"/>
      <c r="D28" s="104"/>
      <c r="E28" s="69"/>
      <c r="F28" s="1" t="s">
        <v>3298</v>
      </c>
      <c r="G28" s="56"/>
      <c r="H28" s="56"/>
      <c r="I28" s="104"/>
      <c r="J28" s="1" t="s">
        <v>3299</v>
      </c>
      <c r="M28" s="104"/>
      <c r="N28" s="1" t="s">
        <v>3300</v>
      </c>
      <c r="O28" s="153"/>
      <c r="Q28" s="104"/>
      <c r="R28" s="1" t="s">
        <v>3301</v>
      </c>
      <c r="S28" s="153"/>
      <c r="U28" s="104"/>
      <c r="V28" s="69"/>
      <c r="W28" s="1" t="s">
        <v>3302</v>
      </c>
      <c r="X28" s="154"/>
      <c r="Z28" s="104"/>
      <c r="AA28" s="1" t="s">
        <v>3303</v>
      </c>
      <c r="AB28" s="17" t="s">
        <v>587</v>
      </c>
      <c r="AC28" s="1" t="s">
        <v>3297</v>
      </c>
      <c r="AD28" s="17"/>
    </row>
    <row r="29">
      <c r="A29" s="1" t="s">
        <v>3296</v>
      </c>
      <c r="B29" s="56"/>
      <c r="D29" s="104"/>
      <c r="E29" s="69"/>
      <c r="F29" s="1" t="s">
        <v>3298</v>
      </c>
      <c r="G29" s="56"/>
      <c r="H29" s="56"/>
      <c r="I29" s="104" t="s">
        <v>3306</v>
      </c>
      <c r="J29" s="1" t="s">
        <v>3299</v>
      </c>
      <c r="M29" s="104" t="s">
        <v>3306</v>
      </c>
      <c r="N29" s="1" t="s">
        <v>3300</v>
      </c>
      <c r="O29" s="153"/>
      <c r="Q29" s="104" t="s">
        <v>3306</v>
      </c>
      <c r="R29" s="1" t="s">
        <v>3301</v>
      </c>
      <c r="S29" s="153"/>
      <c r="U29" s="104"/>
      <c r="V29" s="69" t="s">
        <v>3306</v>
      </c>
      <c r="W29" s="1" t="s">
        <v>3302</v>
      </c>
      <c r="X29" s="154"/>
      <c r="Z29" s="104" t="s">
        <v>3306</v>
      </c>
      <c r="AA29" s="1" t="s">
        <v>3303</v>
      </c>
      <c r="AB29" s="17" t="s">
        <v>686</v>
      </c>
      <c r="AC29" s="1" t="s">
        <v>3297</v>
      </c>
      <c r="AD29" s="155"/>
    </row>
    <row r="30">
      <c r="A30" s="1" t="s">
        <v>3296</v>
      </c>
      <c r="B30" s="56"/>
      <c r="D30" s="104"/>
      <c r="E30" s="69"/>
      <c r="F30" s="1" t="s">
        <v>3298</v>
      </c>
      <c r="G30" s="153"/>
      <c r="H30" s="153"/>
      <c r="I30" s="104"/>
      <c r="J30" s="1" t="s">
        <v>3299</v>
      </c>
      <c r="M30" s="104"/>
      <c r="N30" s="1" t="s">
        <v>3300</v>
      </c>
      <c r="O30" s="153"/>
      <c r="Q30" s="104"/>
      <c r="R30" s="1" t="s">
        <v>3301</v>
      </c>
      <c r="S30" s="153"/>
      <c r="U30" s="104"/>
      <c r="V30" s="69"/>
      <c r="W30" s="1" t="s">
        <v>3302</v>
      </c>
      <c r="X30" s="154"/>
      <c r="Z30" s="104"/>
      <c r="AA30" s="1" t="s">
        <v>3303</v>
      </c>
      <c r="AB30" s="17" t="s">
        <v>598</v>
      </c>
      <c r="AC30" s="1" t="s">
        <v>3297</v>
      </c>
      <c r="AD30" s="156"/>
    </row>
    <row r="31">
      <c r="A31" s="1" t="s">
        <v>3296</v>
      </c>
      <c r="B31" s="56"/>
      <c r="D31" s="104"/>
      <c r="E31" s="69"/>
      <c r="F31" s="1" t="s">
        <v>3298</v>
      </c>
      <c r="G31" s="56"/>
      <c r="H31" s="56"/>
      <c r="I31" s="104"/>
      <c r="J31" s="1" t="s">
        <v>3299</v>
      </c>
      <c r="M31" s="104"/>
      <c r="N31" s="1" t="s">
        <v>3300</v>
      </c>
      <c r="O31" s="56"/>
      <c r="Q31" s="104"/>
      <c r="R31" s="1" t="s">
        <v>3301</v>
      </c>
      <c r="S31" s="56"/>
      <c r="U31" s="104"/>
      <c r="V31" s="69"/>
      <c r="W31" s="1" t="s">
        <v>3302</v>
      </c>
      <c r="X31" s="152"/>
      <c r="Z31" s="104"/>
      <c r="AA31" s="1" t="s">
        <v>3303</v>
      </c>
      <c r="AB31" s="152"/>
    </row>
    <row r="32">
      <c r="A32" s="1" t="s">
        <v>3296</v>
      </c>
      <c r="B32" s="56"/>
      <c r="D32" s="104"/>
      <c r="E32" s="69"/>
      <c r="F32" s="1" t="s">
        <v>3298</v>
      </c>
      <c r="G32" s="56"/>
      <c r="H32" s="56"/>
      <c r="I32" s="104"/>
      <c r="J32" s="1" t="s">
        <v>3299</v>
      </c>
      <c r="M32" s="104"/>
      <c r="N32" s="1" t="s">
        <v>3300</v>
      </c>
      <c r="O32" s="56"/>
      <c r="Q32" s="104"/>
      <c r="R32" s="1" t="s">
        <v>3301</v>
      </c>
      <c r="S32" s="56"/>
      <c r="U32" s="104"/>
      <c r="V32" s="69"/>
      <c r="W32" s="1" t="s">
        <v>3302</v>
      </c>
      <c r="X32" s="152"/>
      <c r="Z32" s="104"/>
      <c r="AA32" s="1" t="s">
        <v>3303</v>
      </c>
      <c r="AB32" s="152"/>
    </row>
    <row r="33">
      <c r="A33" s="1" t="s">
        <v>3296</v>
      </c>
      <c r="B33" s="56"/>
      <c r="D33" s="104"/>
      <c r="E33" s="69"/>
      <c r="F33" s="1" t="s">
        <v>3298</v>
      </c>
      <c r="G33" s="56"/>
      <c r="H33" s="56"/>
      <c r="I33" s="104"/>
      <c r="J33" s="1" t="s">
        <v>3299</v>
      </c>
      <c r="M33" s="104"/>
      <c r="N33" s="1" t="s">
        <v>3300</v>
      </c>
      <c r="O33" s="56"/>
      <c r="Q33" s="104"/>
      <c r="R33" s="1" t="s">
        <v>3301</v>
      </c>
      <c r="S33" s="56"/>
      <c r="U33" s="104"/>
      <c r="V33" s="69"/>
      <c r="W33" s="1" t="s">
        <v>3302</v>
      </c>
      <c r="X33" s="152"/>
      <c r="Z33" s="104"/>
      <c r="AA33" s="1" t="s">
        <v>3303</v>
      </c>
    </row>
    <row r="34">
      <c r="A34" s="1" t="s">
        <v>3296</v>
      </c>
      <c r="B34" s="56"/>
      <c r="D34" s="104"/>
      <c r="E34" s="69"/>
      <c r="F34" s="1" t="s">
        <v>3298</v>
      </c>
      <c r="G34" s="56"/>
      <c r="H34" s="56"/>
      <c r="I34" s="104"/>
      <c r="J34" s="1" t="s">
        <v>3299</v>
      </c>
      <c r="M34" s="104"/>
      <c r="N34" s="1" t="s">
        <v>3300</v>
      </c>
      <c r="O34" s="56"/>
      <c r="Q34" s="104"/>
      <c r="R34" s="1" t="s">
        <v>3301</v>
      </c>
      <c r="S34" s="56"/>
      <c r="U34" s="104"/>
      <c r="V34" s="69"/>
      <c r="W34" s="1" t="s">
        <v>3302</v>
      </c>
      <c r="X34" s="152"/>
      <c r="Z34" s="104"/>
      <c r="AA34" s="1" t="s">
        <v>3303</v>
      </c>
    </row>
    <row r="35">
      <c r="A35" s="1" t="s">
        <v>3296</v>
      </c>
      <c r="B35" s="56"/>
      <c r="D35" s="104"/>
      <c r="E35" s="69"/>
      <c r="F35" s="1" t="s">
        <v>3298</v>
      </c>
      <c r="G35" s="56"/>
      <c r="H35" s="56"/>
      <c r="I35" s="104"/>
      <c r="J35" s="1" t="s">
        <v>3299</v>
      </c>
      <c r="M35" s="104"/>
      <c r="N35" s="1" t="s">
        <v>3300</v>
      </c>
      <c r="O35" s="56"/>
      <c r="Q35" s="104"/>
      <c r="R35" s="1" t="s">
        <v>3301</v>
      </c>
      <c r="S35" s="56"/>
      <c r="U35" s="104"/>
      <c r="V35" s="69"/>
      <c r="W35" s="1" t="s">
        <v>3302</v>
      </c>
      <c r="X35" s="152"/>
      <c r="Z35" s="104"/>
      <c r="AA35" s="1" t="s">
        <v>3303</v>
      </c>
    </row>
    <row r="36">
      <c r="A36" s="1" t="s">
        <v>3296</v>
      </c>
      <c r="B36" s="56"/>
      <c r="D36" s="104"/>
      <c r="E36" s="69"/>
      <c r="F36" s="1" t="s">
        <v>3298</v>
      </c>
      <c r="G36" s="56"/>
      <c r="H36" s="56"/>
      <c r="I36" s="104"/>
      <c r="J36" s="1" t="s">
        <v>3299</v>
      </c>
      <c r="M36" s="104"/>
      <c r="N36" s="1" t="s">
        <v>3300</v>
      </c>
      <c r="O36" s="56"/>
      <c r="Q36" s="104"/>
      <c r="R36" s="1" t="s">
        <v>3301</v>
      </c>
      <c r="S36" s="56"/>
      <c r="U36" s="104"/>
      <c r="V36" s="69"/>
      <c r="W36" s="1" t="s">
        <v>3302</v>
      </c>
      <c r="X36" s="154"/>
      <c r="Z36" s="104"/>
      <c r="AA36" s="1" t="s">
        <v>3303</v>
      </c>
    </row>
    <row r="37">
      <c r="A37" s="1" t="s">
        <v>3296</v>
      </c>
      <c r="B37" s="56"/>
      <c r="D37" s="104"/>
      <c r="E37" s="69"/>
      <c r="F37" s="1" t="s">
        <v>3298</v>
      </c>
      <c r="G37" s="56"/>
      <c r="H37" s="56"/>
      <c r="I37" s="104"/>
      <c r="J37" s="1" t="s">
        <v>3299</v>
      </c>
      <c r="M37" s="104"/>
      <c r="N37" s="1" t="s">
        <v>3300</v>
      </c>
      <c r="O37" s="56"/>
      <c r="Q37" s="104"/>
      <c r="R37" s="1" t="s">
        <v>3301</v>
      </c>
      <c r="S37" s="56"/>
      <c r="U37" s="104"/>
      <c r="V37" s="69"/>
      <c r="W37" s="1" t="s">
        <v>3302</v>
      </c>
      <c r="X37" s="152"/>
      <c r="Z37" s="104"/>
      <c r="AA37" s="1" t="s">
        <v>3303</v>
      </c>
    </row>
    <row r="38">
      <c r="A38" s="1" t="s">
        <v>3296</v>
      </c>
      <c r="B38" s="56"/>
      <c r="D38" s="104"/>
      <c r="E38" s="69"/>
      <c r="F38" s="1" t="s">
        <v>3298</v>
      </c>
      <c r="G38" s="56"/>
      <c r="H38" s="56"/>
      <c r="I38" s="104"/>
      <c r="J38" s="1" t="s">
        <v>3299</v>
      </c>
      <c r="M38" s="104"/>
      <c r="N38" s="1" t="s">
        <v>3300</v>
      </c>
      <c r="O38" s="56"/>
      <c r="Q38" s="104"/>
      <c r="R38" s="1" t="s">
        <v>3301</v>
      </c>
      <c r="S38" s="56"/>
      <c r="U38" s="104"/>
      <c r="V38" s="69"/>
      <c r="W38" s="1" t="s">
        <v>3302</v>
      </c>
      <c r="X38" s="152"/>
      <c r="Z38" s="104"/>
      <c r="AA38" s="1" t="s">
        <v>3303</v>
      </c>
      <c r="AB38" s="152"/>
    </row>
    <row r="39">
      <c r="A39" s="1" t="s">
        <v>3296</v>
      </c>
      <c r="B39" s="56"/>
      <c r="D39" s="104"/>
      <c r="E39" s="69"/>
      <c r="F39" s="1" t="s">
        <v>3298</v>
      </c>
      <c r="G39" s="56"/>
      <c r="H39" s="56"/>
      <c r="I39" s="104"/>
      <c r="J39" s="1" t="s">
        <v>3299</v>
      </c>
      <c r="M39" s="104"/>
      <c r="N39" s="1" t="s">
        <v>3300</v>
      </c>
      <c r="O39" s="56"/>
      <c r="Q39" s="104"/>
      <c r="R39" s="1" t="s">
        <v>3301</v>
      </c>
      <c r="S39" s="56"/>
      <c r="U39" s="104"/>
      <c r="V39" s="69"/>
      <c r="W39" s="1" t="s">
        <v>3302</v>
      </c>
      <c r="X39" s="152"/>
      <c r="Z39" s="104"/>
      <c r="AA39" s="1" t="s">
        <v>3303</v>
      </c>
      <c r="AB39" s="152"/>
    </row>
    <row r="40">
      <c r="A40" s="1" t="s">
        <v>3296</v>
      </c>
      <c r="B40" s="56"/>
      <c r="D40" s="104"/>
      <c r="E40" s="69"/>
      <c r="F40" s="1" t="s">
        <v>3298</v>
      </c>
      <c r="G40" s="56"/>
      <c r="H40" s="56"/>
      <c r="I40" s="104"/>
      <c r="J40" s="1" t="s">
        <v>3299</v>
      </c>
      <c r="M40" s="104"/>
      <c r="N40" s="1" t="s">
        <v>3300</v>
      </c>
      <c r="O40" s="56"/>
      <c r="Q40" s="104"/>
      <c r="R40" s="1" t="s">
        <v>3301</v>
      </c>
      <c r="S40" s="56"/>
      <c r="U40" s="104"/>
      <c r="V40" s="69"/>
      <c r="W40" s="1" t="s">
        <v>3302</v>
      </c>
      <c r="X40" s="152"/>
      <c r="Z40" s="104"/>
      <c r="AA40" s="1" t="s">
        <v>3303</v>
      </c>
      <c r="AB40" s="152"/>
    </row>
    <row r="41">
      <c r="A41" s="1" t="s">
        <v>3296</v>
      </c>
      <c r="B41" s="56"/>
      <c r="D41" s="104"/>
      <c r="E41" s="69"/>
      <c r="F41" s="1" t="s">
        <v>3298</v>
      </c>
      <c r="G41" s="56"/>
      <c r="H41" s="56"/>
      <c r="I41" s="104"/>
      <c r="J41" s="1" t="s">
        <v>3299</v>
      </c>
      <c r="M41" s="104"/>
      <c r="N41" s="1" t="s">
        <v>3300</v>
      </c>
      <c r="O41" s="56"/>
      <c r="Q41" s="104"/>
      <c r="R41" s="1" t="s">
        <v>3301</v>
      </c>
      <c r="S41" s="56"/>
      <c r="U41" s="104"/>
      <c r="V41" s="69"/>
      <c r="W41" s="1" t="s">
        <v>3302</v>
      </c>
      <c r="X41" s="152"/>
      <c r="Z41" s="104"/>
      <c r="AA41" s="1" t="s">
        <v>3303</v>
      </c>
      <c r="AB41" s="152"/>
    </row>
    <row r="42">
      <c r="A42" s="1" t="s">
        <v>3296</v>
      </c>
      <c r="B42" s="56"/>
      <c r="D42" s="104"/>
      <c r="E42" s="69"/>
      <c r="F42" s="1" t="s">
        <v>3298</v>
      </c>
      <c r="G42" s="56"/>
      <c r="H42" s="56"/>
      <c r="I42" s="104"/>
      <c r="J42" s="1" t="s">
        <v>3299</v>
      </c>
      <c r="M42" s="104"/>
      <c r="N42" s="1" t="s">
        <v>3300</v>
      </c>
      <c r="O42" s="56"/>
      <c r="Q42" s="104"/>
      <c r="R42" s="1" t="s">
        <v>3301</v>
      </c>
      <c r="S42" s="56"/>
      <c r="U42" s="104"/>
      <c r="V42" s="69"/>
      <c r="W42" s="1" t="s">
        <v>3302</v>
      </c>
      <c r="X42" s="152"/>
      <c r="Z42" s="104"/>
      <c r="AA42" s="1" t="s">
        <v>3303</v>
      </c>
      <c r="AB42" s="152"/>
    </row>
    <row r="43">
      <c r="A43" s="1" t="s">
        <v>3296</v>
      </c>
      <c r="B43" s="56"/>
      <c r="D43" s="104"/>
      <c r="E43" s="69"/>
      <c r="F43" s="1" t="s">
        <v>3298</v>
      </c>
      <c r="G43" s="56"/>
      <c r="H43" s="56"/>
      <c r="I43" s="104"/>
      <c r="J43" s="1" t="s">
        <v>3299</v>
      </c>
      <c r="M43" s="104"/>
      <c r="N43" s="1" t="s">
        <v>3300</v>
      </c>
      <c r="O43" s="56"/>
      <c r="Q43" s="104"/>
      <c r="R43" s="1" t="s">
        <v>3301</v>
      </c>
      <c r="S43" s="56"/>
      <c r="U43" s="104"/>
      <c r="V43" s="69"/>
      <c r="W43" s="1" t="s">
        <v>3302</v>
      </c>
      <c r="X43" s="152"/>
      <c r="Z43" s="104"/>
      <c r="AA43" s="1" t="s">
        <v>3303</v>
      </c>
      <c r="AB43" s="152"/>
    </row>
    <row r="44">
      <c r="A44" s="1" t="s">
        <v>3296</v>
      </c>
      <c r="B44" s="56"/>
      <c r="D44" s="104"/>
      <c r="E44" s="69"/>
      <c r="F44" s="1" t="s">
        <v>3298</v>
      </c>
      <c r="G44" s="56"/>
      <c r="H44" s="56"/>
      <c r="I44" s="104"/>
      <c r="J44" s="1" t="s">
        <v>3299</v>
      </c>
      <c r="M44" s="104"/>
      <c r="N44" s="1" t="s">
        <v>3300</v>
      </c>
      <c r="O44" s="56"/>
      <c r="Q44" s="104"/>
      <c r="R44" s="1" t="s">
        <v>3301</v>
      </c>
      <c r="S44" s="56"/>
      <c r="U44" s="104"/>
      <c r="V44" s="69"/>
      <c r="W44" s="1" t="s">
        <v>3302</v>
      </c>
      <c r="X44" s="152"/>
      <c r="Z44" s="104"/>
      <c r="AA44" s="1" t="s">
        <v>3303</v>
      </c>
      <c r="AB44" s="152"/>
    </row>
    <row r="45">
      <c r="A45" s="1" t="s">
        <v>3296</v>
      </c>
      <c r="B45" s="56"/>
      <c r="D45" s="104"/>
      <c r="E45" s="69"/>
      <c r="F45" s="1" t="s">
        <v>3298</v>
      </c>
      <c r="G45" s="153"/>
      <c r="H45" s="153"/>
      <c r="I45" s="104"/>
      <c r="J45" s="1" t="s">
        <v>3299</v>
      </c>
      <c r="M45" s="104"/>
      <c r="N45" s="1" t="s">
        <v>3300</v>
      </c>
      <c r="O45" s="153"/>
      <c r="Q45" s="104"/>
      <c r="R45" s="1" t="s">
        <v>3301</v>
      </c>
      <c r="S45" s="153"/>
      <c r="U45" s="104"/>
      <c r="V45" s="69"/>
      <c r="W45" s="1" t="s">
        <v>3302</v>
      </c>
      <c r="X45" s="154"/>
      <c r="Z45" s="104"/>
      <c r="AA45" s="1" t="s">
        <v>3303</v>
      </c>
      <c r="AB45" s="154"/>
    </row>
    <row r="46">
      <c r="A46" s="1" t="s">
        <v>3296</v>
      </c>
      <c r="B46" s="56"/>
      <c r="D46" s="104"/>
      <c r="E46" s="69"/>
      <c r="F46" s="1" t="s">
        <v>3298</v>
      </c>
      <c r="G46" s="56"/>
      <c r="H46" s="56"/>
      <c r="I46" s="104"/>
      <c r="J46" s="1" t="s">
        <v>3299</v>
      </c>
      <c r="M46" s="104"/>
      <c r="N46" s="1" t="s">
        <v>3300</v>
      </c>
      <c r="O46" s="56"/>
      <c r="Q46" s="104"/>
      <c r="R46" s="1" t="s">
        <v>3301</v>
      </c>
      <c r="S46" s="56"/>
      <c r="U46" s="104"/>
      <c r="V46" s="69"/>
      <c r="W46" s="1" t="s">
        <v>3302</v>
      </c>
      <c r="X46" s="152"/>
      <c r="Z46" s="104"/>
      <c r="AA46" s="1" t="s">
        <v>3303</v>
      </c>
      <c r="AB46" s="152"/>
    </row>
    <row r="47">
      <c r="A47" s="1" t="s">
        <v>3296</v>
      </c>
      <c r="B47" s="56"/>
      <c r="D47" s="104"/>
      <c r="E47" s="69"/>
      <c r="F47" s="1" t="s">
        <v>3298</v>
      </c>
      <c r="G47" s="56"/>
      <c r="H47" s="56"/>
      <c r="I47" s="104"/>
      <c r="J47" s="1" t="s">
        <v>3299</v>
      </c>
      <c r="M47" s="104"/>
      <c r="N47" s="1" t="s">
        <v>3300</v>
      </c>
      <c r="O47" s="56"/>
      <c r="Q47" s="104"/>
      <c r="R47" s="1" t="s">
        <v>3301</v>
      </c>
      <c r="S47" s="56"/>
      <c r="U47" s="104"/>
      <c r="V47" s="69"/>
      <c r="W47" s="1" t="s">
        <v>3302</v>
      </c>
      <c r="X47" s="152"/>
      <c r="Z47" s="104"/>
      <c r="AA47" s="1" t="s">
        <v>3303</v>
      </c>
      <c r="AB47" s="152"/>
    </row>
    <row r="48">
      <c r="A48" s="1" t="s">
        <v>3296</v>
      </c>
      <c r="B48" s="56"/>
      <c r="D48" s="104"/>
      <c r="E48" s="69"/>
      <c r="F48" s="1" t="s">
        <v>3298</v>
      </c>
      <c r="G48" s="56"/>
      <c r="H48" s="56"/>
      <c r="I48" s="104"/>
      <c r="J48" s="1" t="s">
        <v>3299</v>
      </c>
      <c r="K48" s="56"/>
      <c r="M48" s="104"/>
      <c r="N48" s="1" t="s">
        <v>3300</v>
      </c>
      <c r="O48" s="153"/>
      <c r="Q48" s="104"/>
      <c r="R48" s="1" t="s">
        <v>3301</v>
      </c>
      <c r="S48" s="153"/>
      <c r="U48" s="104"/>
      <c r="V48" s="69"/>
      <c r="W48" s="1" t="s">
        <v>3302</v>
      </c>
      <c r="X48" s="154"/>
      <c r="Z48" s="104"/>
      <c r="AA48" s="1" t="s">
        <v>3303</v>
      </c>
      <c r="AB48" s="154"/>
    </row>
    <row r="49">
      <c r="A49" s="1" t="s">
        <v>3296</v>
      </c>
      <c r="B49" s="56"/>
      <c r="D49" s="104"/>
      <c r="E49" s="69"/>
      <c r="F49" s="1" t="s">
        <v>3298</v>
      </c>
      <c r="G49" s="56"/>
      <c r="H49" s="56"/>
      <c r="I49" s="104"/>
      <c r="J49" s="1" t="s">
        <v>3299</v>
      </c>
      <c r="K49" s="56"/>
      <c r="M49" s="104"/>
      <c r="N49" s="1" t="s">
        <v>3300</v>
      </c>
      <c r="O49" s="56"/>
      <c r="Q49" s="104"/>
      <c r="R49" s="1" t="s">
        <v>3301</v>
      </c>
      <c r="S49" s="56"/>
      <c r="U49" s="104"/>
      <c r="V49" s="69"/>
      <c r="W49" s="1" t="s">
        <v>3302</v>
      </c>
      <c r="X49" s="152"/>
      <c r="Z49" s="104"/>
      <c r="AA49" s="1" t="s">
        <v>3303</v>
      </c>
      <c r="AB49" s="152"/>
    </row>
    <row r="50">
      <c r="A50" s="1" t="s">
        <v>3296</v>
      </c>
      <c r="B50" s="56"/>
      <c r="D50" s="104"/>
      <c r="E50" s="69"/>
      <c r="F50" s="1" t="s">
        <v>3298</v>
      </c>
      <c r="G50" s="56"/>
      <c r="H50" s="56"/>
      <c r="I50" s="104"/>
      <c r="J50" s="1" t="s">
        <v>3299</v>
      </c>
      <c r="K50" s="56"/>
      <c r="M50" s="104"/>
      <c r="N50" s="1" t="s">
        <v>3300</v>
      </c>
      <c r="O50" s="56"/>
      <c r="Q50" s="104"/>
      <c r="R50" s="1" t="s">
        <v>3301</v>
      </c>
      <c r="S50" s="56"/>
      <c r="U50" s="104"/>
      <c r="V50" s="69"/>
      <c r="W50" s="1" t="s">
        <v>3302</v>
      </c>
      <c r="X50" s="152"/>
      <c r="Z50" s="104"/>
      <c r="AA50" s="1" t="s">
        <v>3303</v>
      </c>
      <c r="AB50" s="152"/>
    </row>
    <row r="51">
      <c r="A51" s="1" t="s">
        <v>3296</v>
      </c>
      <c r="B51" s="56"/>
      <c r="D51" s="104"/>
      <c r="E51" s="69"/>
      <c r="F51" s="1" t="s">
        <v>3298</v>
      </c>
      <c r="G51" s="56"/>
      <c r="H51" s="56"/>
      <c r="I51" s="104"/>
      <c r="J51" s="1" t="s">
        <v>3299</v>
      </c>
      <c r="K51" s="56"/>
      <c r="M51" s="104"/>
      <c r="N51" s="1" t="s">
        <v>3300</v>
      </c>
      <c r="O51" s="56"/>
      <c r="Q51" s="104"/>
      <c r="R51" s="1" t="s">
        <v>3301</v>
      </c>
      <c r="S51" s="56"/>
      <c r="U51" s="104"/>
      <c r="V51" s="69"/>
      <c r="X51" s="152"/>
      <c r="Z51" s="104"/>
      <c r="AB51" s="152"/>
    </row>
    <row r="52">
      <c r="A52" s="1" t="s">
        <v>3296</v>
      </c>
      <c r="B52" s="56"/>
      <c r="D52" s="104"/>
      <c r="E52" s="69"/>
      <c r="F52" s="1" t="s">
        <v>3298</v>
      </c>
      <c r="G52" s="56"/>
      <c r="H52" s="56"/>
      <c r="I52" s="104"/>
      <c r="J52" s="1" t="s">
        <v>3299</v>
      </c>
      <c r="K52" s="56"/>
      <c r="M52" s="104"/>
      <c r="N52" s="1" t="s">
        <v>3300</v>
      </c>
      <c r="O52" s="56"/>
      <c r="Q52" s="104"/>
      <c r="R52" s="1" t="s">
        <v>3301</v>
      </c>
      <c r="S52" s="56"/>
      <c r="U52" s="104"/>
      <c r="V52" s="69"/>
      <c r="X52" s="152"/>
      <c r="Z52" s="104"/>
      <c r="AB52" s="152"/>
    </row>
    <row r="53">
      <c r="A53" s="1" t="s">
        <v>3296</v>
      </c>
      <c r="B53" s="56"/>
      <c r="D53" s="104"/>
      <c r="E53" s="69"/>
      <c r="F53" s="1" t="s">
        <v>3298</v>
      </c>
      <c r="G53" s="56"/>
      <c r="H53" s="56"/>
      <c r="I53" s="104"/>
      <c r="J53" s="1" t="s">
        <v>3299</v>
      </c>
      <c r="K53" s="56"/>
      <c r="M53" s="104"/>
      <c r="N53" s="1" t="s">
        <v>3300</v>
      </c>
      <c r="O53" s="56"/>
      <c r="Q53" s="104"/>
      <c r="R53" s="1" t="s">
        <v>3301</v>
      </c>
      <c r="S53" s="153"/>
      <c r="U53" s="104"/>
      <c r="V53" s="69"/>
      <c r="X53" s="154"/>
      <c r="Z53" s="104"/>
      <c r="AB53" s="154"/>
    </row>
    <row r="54">
      <c r="A54" s="1" t="s">
        <v>3296</v>
      </c>
      <c r="B54" s="56"/>
      <c r="D54" s="104"/>
      <c r="E54" s="69"/>
      <c r="F54" s="1" t="s">
        <v>3298</v>
      </c>
      <c r="G54" s="56"/>
      <c r="H54" s="56"/>
      <c r="I54" s="104"/>
      <c r="J54" s="1" t="s">
        <v>3299</v>
      </c>
      <c r="K54" s="56"/>
      <c r="M54" s="104"/>
      <c r="N54" s="1" t="s">
        <v>3300</v>
      </c>
      <c r="O54" s="56"/>
      <c r="Q54" s="104"/>
      <c r="R54" s="1" t="s">
        <v>3301</v>
      </c>
      <c r="S54" s="56"/>
      <c r="U54" s="104"/>
      <c r="V54" s="69"/>
      <c r="X54" s="152"/>
      <c r="Z54" s="104"/>
      <c r="AB54" s="152"/>
    </row>
    <row r="55">
      <c r="A55" s="1" t="s">
        <v>3296</v>
      </c>
      <c r="B55" s="56"/>
      <c r="D55" s="104"/>
      <c r="E55" s="69"/>
      <c r="F55" s="1" t="s">
        <v>3298</v>
      </c>
      <c r="G55" s="56"/>
      <c r="H55" s="56"/>
      <c r="I55" s="104"/>
      <c r="K55" s="152"/>
      <c r="M55" s="104"/>
      <c r="O55" s="152"/>
      <c r="Q55" s="104"/>
      <c r="S55" s="152"/>
      <c r="U55" s="104"/>
      <c r="V55" s="69"/>
      <c r="X55" s="152"/>
      <c r="Z55" s="104"/>
      <c r="AB55" s="152"/>
    </row>
    <row r="56">
      <c r="D56" s="157"/>
      <c r="E56" s="67"/>
      <c r="I56" s="157"/>
      <c r="M56" s="157"/>
      <c r="Q56" s="157"/>
      <c r="U56" s="157"/>
      <c r="V56" s="67"/>
      <c r="Z56" s="157"/>
    </row>
    <row r="57">
      <c r="D57" s="157"/>
      <c r="E57" s="67"/>
      <c r="I57" s="157"/>
      <c r="M57" s="157"/>
      <c r="Q57" s="157"/>
      <c r="U57" s="157"/>
      <c r="V57" s="67"/>
      <c r="Z57" s="157"/>
    </row>
    <row r="58">
      <c r="D58" s="157"/>
      <c r="E58" s="67"/>
      <c r="I58" s="157"/>
      <c r="M58" s="157"/>
      <c r="Q58" s="157"/>
      <c r="U58" s="157"/>
      <c r="V58" s="67"/>
      <c r="Z58" s="157"/>
    </row>
    <row r="59">
      <c r="D59" s="157"/>
      <c r="E59" s="67"/>
      <c r="I59" s="157"/>
      <c r="M59" s="157"/>
      <c r="Q59" s="157"/>
      <c r="U59" s="157"/>
      <c r="V59" s="67"/>
      <c r="Z59" s="157"/>
    </row>
    <row r="60">
      <c r="D60" s="157"/>
      <c r="E60" s="67"/>
      <c r="I60" s="157"/>
      <c r="M60" s="157"/>
      <c r="Q60" s="157"/>
      <c r="U60" s="157"/>
      <c r="V60" s="67"/>
      <c r="Z60" s="157"/>
    </row>
    <row r="61">
      <c r="D61" s="157"/>
      <c r="E61" s="67"/>
      <c r="I61" s="157"/>
      <c r="M61" s="157"/>
      <c r="Q61" s="157"/>
      <c r="U61" s="157"/>
      <c r="V61" s="67"/>
      <c r="Z61" s="157"/>
    </row>
    <row r="62">
      <c r="D62" s="157"/>
      <c r="E62" s="67"/>
      <c r="I62" s="157"/>
      <c r="M62" s="157"/>
      <c r="Q62" s="157"/>
      <c r="U62" s="157"/>
      <c r="V62" s="67"/>
      <c r="Z62" s="157"/>
    </row>
    <row r="63">
      <c r="D63" s="157"/>
      <c r="E63" s="67"/>
      <c r="I63" s="157"/>
      <c r="M63" s="157"/>
      <c r="Q63" s="157"/>
      <c r="U63" s="157"/>
      <c r="V63" s="67"/>
      <c r="Z63" s="157"/>
    </row>
    <row r="64">
      <c r="D64" s="157"/>
      <c r="E64" s="67"/>
      <c r="I64" s="157"/>
      <c r="M64" s="157"/>
      <c r="Q64" s="157"/>
      <c r="U64" s="157"/>
      <c r="V64" s="67"/>
      <c r="Z64" s="157"/>
    </row>
    <row r="65">
      <c r="D65" s="157"/>
      <c r="E65" s="67"/>
      <c r="I65" s="157"/>
      <c r="M65" s="157"/>
      <c r="Q65" s="157"/>
      <c r="U65" s="157"/>
      <c r="V65" s="67"/>
      <c r="Z65" s="157"/>
    </row>
    <row r="66">
      <c r="D66" s="157"/>
      <c r="E66" s="67"/>
      <c r="I66" s="157"/>
      <c r="M66" s="157"/>
      <c r="Q66" s="157"/>
      <c r="U66" s="157"/>
      <c r="V66" s="67"/>
      <c r="Z66" s="157"/>
    </row>
    <row r="67">
      <c r="D67" s="157"/>
      <c r="E67" s="67"/>
      <c r="I67" s="157"/>
      <c r="M67" s="157"/>
      <c r="Q67" s="157"/>
      <c r="U67" s="157"/>
      <c r="V67" s="67"/>
      <c r="Z67" s="157"/>
    </row>
    <row r="68">
      <c r="D68" s="157"/>
      <c r="E68" s="67"/>
      <c r="I68" s="157"/>
      <c r="M68" s="157"/>
      <c r="Q68" s="157"/>
      <c r="U68" s="157"/>
      <c r="V68" s="67"/>
      <c r="Z68" s="157"/>
    </row>
    <row r="69">
      <c r="D69" s="157"/>
      <c r="E69" s="67"/>
      <c r="I69" s="157"/>
      <c r="M69" s="157"/>
      <c r="Q69" s="157"/>
      <c r="U69" s="157"/>
      <c r="V69" s="67"/>
      <c r="Z69" s="157"/>
    </row>
    <row r="70">
      <c r="D70" s="157"/>
      <c r="E70" s="67"/>
      <c r="I70" s="157"/>
      <c r="M70" s="157"/>
      <c r="Q70" s="157"/>
      <c r="U70" s="157"/>
      <c r="V70" s="67"/>
      <c r="Z70" s="157"/>
    </row>
    <row r="71">
      <c r="D71" s="157"/>
      <c r="E71" s="67"/>
      <c r="I71" s="157"/>
      <c r="M71" s="157"/>
      <c r="Q71" s="157"/>
      <c r="U71" s="157"/>
      <c r="V71" s="67"/>
      <c r="Z71" s="157"/>
    </row>
    <row r="72">
      <c r="D72" s="157"/>
      <c r="E72" s="67"/>
      <c r="I72" s="157"/>
      <c r="M72" s="157"/>
      <c r="Q72" s="157"/>
      <c r="U72" s="157"/>
      <c r="V72" s="67"/>
      <c r="Z72" s="157"/>
    </row>
    <row r="73">
      <c r="D73" s="157"/>
      <c r="E73" s="67"/>
      <c r="I73" s="157"/>
      <c r="M73" s="157"/>
      <c r="Q73" s="157"/>
      <c r="U73" s="157"/>
      <c r="V73" s="67"/>
      <c r="Z73" s="157"/>
    </row>
    <row r="74">
      <c r="D74" s="157"/>
      <c r="E74" s="67"/>
      <c r="I74" s="157"/>
      <c r="M74" s="157"/>
      <c r="Q74" s="157"/>
      <c r="U74" s="157"/>
      <c r="V74" s="67"/>
      <c r="Z74" s="157"/>
    </row>
    <row r="75">
      <c r="D75" s="157"/>
      <c r="E75" s="67"/>
      <c r="I75" s="157"/>
      <c r="M75" s="157"/>
      <c r="Q75" s="157"/>
      <c r="U75" s="157"/>
      <c r="V75" s="67"/>
      <c r="Z75" s="157"/>
    </row>
    <row r="76">
      <c r="D76" s="157"/>
      <c r="E76" s="67"/>
      <c r="I76" s="157"/>
      <c r="M76" s="157"/>
      <c r="Q76" s="157"/>
      <c r="U76" s="157"/>
      <c r="V76" s="67"/>
      <c r="Z76" s="157"/>
    </row>
    <row r="77">
      <c r="D77" s="157"/>
      <c r="E77" s="67"/>
      <c r="I77" s="157"/>
      <c r="M77" s="157"/>
      <c r="Q77" s="157"/>
      <c r="U77" s="157"/>
      <c r="V77" s="67"/>
      <c r="Z77" s="157"/>
    </row>
    <row r="78">
      <c r="D78" s="157"/>
      <c r="E78" s="67"/>
      <c r="I78" s="157"/>
      <c r="M78" s="157"/>
      <c r="Q78" s="157"/>
      <c r="U78" s="157"/>
      <c r="V78" s="67"/>
      <c r="Z78" s="157"/>
    </row>
    <row r="79">
      <c r="D79" s="157"/>
      <c r="E79" s="67"/>
      <c r="I79" s="157"/>
      <c r="M79" s="157"/>
      <c r="Q79" s="157"/>
      <c r="U79" s="157"/>
      <c r="V79" s="67"/>
      <c r="Z79" s="157"/>
    </row>
    <row r="80">
      <c r="D80" s="157"/>
      <c r="E80" s="67"/>
      <c r="I80" s="157"/>
      <c r="M80" s="157"/>
      <c r="Q80" s="157"/>
      <c r="U80" s="157"/>
      <c r="V80" s="67"/>
      <c r="Z80" s="157"/>
    </row>
    <row r="81">
      <c r="D81" s="157"/>
      <c r="E81" s="67"/>
      <c r="I81" s="157"/>
      <c r="M81" s="157"/>
      <c r="Q81" s="157"/>
      <c r="U81" s="157"/>
      <c r="V81" s="67"/>
      <c r="Z81" s="157"/>
    </row>
    <row r="82">
      <c r="D82" s="157"/>
      <c r="E82" s="67"/>
      <c r="I82" s="157"/>
      <c r="M82" s="157"/>
      <c r="Q82" s="157"/>
      <c r="U82" s="157"/>
      <c r="V82" s="67"/>
      <c r="Z82" s="157"/>
    </row>
    <row r="83">
      <c r="D83" s="157"/>
      <c r="E83" s="67"/>
      <c r="I83" s="157"/>
      <c r="M83" s="157"/>
      <c r="Q83" s="157"/>
      <c r="U83" s="157"/>
      <c r="V83" s="67"/>
      <c r="Z83" s="157"/>
    </row>
    <row r="84">
      <c r="D84" s="157"/>
      <c r="E84" s="67"/>
      <c r="I84" s="157"/>
      <c r="M84" s="157"/>
      <c r="Q84" s="157"/>
      <c r="U84" s="157"/>
      <c r="V84" s="67"/>
      <c r="Z84" s="157"/>
    </row>
    <row r="85">
      <c r="D85" s="157"/>
      <c r="E85" s="67"/>
      <c r="I85" s="157"/>
      <c r="M85" s="157"/>
      <c r="Q85" s="157"/>
      <c r="U85" s="157"/>
      <c r="V85" s="67"/>
      <c r="Z85" s="157"/>
    </row>
    <row r="86">
      <c r="D86" s="157"/>
      <c r="E86" s="67"/>
      <c r="I86" s="157"/>
      <c r="M86" s="157"/>
      <c r="Q86" s="157"/>
      <c r="U86" s="157"/>
      <c r="V86" s="67"/>
      <c r="Z86" s="157"/>
    </row>
    <row r="87">
      <c r="D87" s="157"/>
      <c r="E87" s="67"/>
      <c r="I87" s="157"/>
      <c r="M87" s="157"/>
      <c r="Q87" s="157"/>
      <c r="U87" s="157"/>
      <c r="V87" s="67"/>
      <c r="Z87" s="157"/>
    </row>
    <row r="88">
      <c r="D88" s="157"/>
      <c r="E88" s="67"/>
      <c r="I88" s="157"/>
      <c r="M88" s="157"/>
      <c r="Q88" s="157"/>
      <c r="U88" s="157"/>
      <c r="V88" s="67"/>
      <c r="Z88" s="157"/>
    </row>
    <row r="89">
      <c r="D89" s="157"/>
      <c r="E89" s="67"/>
      <c r="I89" s="157"/>
      <c r="M89" s="157"/>
      <c r="Q89" s="157"/>
      <c r="U89" s="157"/>
      <c r="V89" s="67"/>
      <c r="Z89" s="157"/>
    </row>
    <row r="90">
      <c r="D90" s="157"/>
      <c r="E90" s="67"/>
      <c r="I90" s="157"/>
      <c r="M90" s="157"/>
      <c r="Q90" s="157"/>
      <c r="U90" s="157"/>
      <c r="V90" s="67"/>
      <c r="Z90" s="157"/>
    </row>
    <row r="91">
      <c r="D91" s="157"/>
      <c r="E91" s="67"/>
      <c r="I91" s="157"/>
      <c r="M91" s="157"/>
      <c r="Q91" s="157"/>
      <c r="U91" s="157"/>
      <c r="V91" s="67"/>
      <c r="Z91" s="157"/>
    </row>
    <row r="92">
      <c r="D92" s="157"/>
      <c r="E92" s="67"/>
      <c r="I92" s="157"/>
      <c r="M92" s="157"/>
      <c r="Q92" s="157"/>
      <c r="U92" s="157"/>
      <c r="V92" s="67"/>
      <c r="Z92" s="157"/>
    </row>
    <row r="93">
      <c r="D93" s="157"/>
      <c r="E93" s="67"/>
      <c r="I93" s="157"/>
      <c r="M93" s="157"/>
      <c r="Q93" s="157"/>
      <c r="U93" s="157"/>
      <c r="V93" s="67"/>
      <c r="Z93" s="157"/>
    </row>
    <row r="94">
      <c r="D94" s="157"/>
      <c r="E94" s="67"/>
      <c r="I94" s="157"/>
      <c r="M94" s="157"/>
      <c r="Q94" s="157"/>
      <c r="U94" s="157"/>
      <c r="V94" s="67"/>
      <c r="Z94" s="157"/>
    </row>
    <row r="95">
      <c r="D95" s="157"/>
      <c r="E95" s="67"/>
      <c r="I95" s="157"/>
      <c r="M95" s="157"/>
      <c r="Q95" s="157"/>
      <c r="U95" s="157"/>
      <c r="V95" s="67"/>
      <c r="Z95" s="157"/>
    </row>
    <row r="96">
      <c r="D96" s="157"/>
      <c r="E96" s="67"/>
      <c r="I96" s="157"/>
      <c r="M96" s="157"/>
      <c r="Q96" s="157"/>
      <c r="U96" s="157"/>
      <c r="V96" s="67"/>
      <c r="Z96" s="157"/>
    </row>
    <row r="97">
      <c r="D97" s="157"/>
      <c r="E97" s="67"/>
      <c r="I97" s="157"/>
      <c r="M97" s="157"/>
      <c r="Q97" s="157"/>
      <c r="U97" s="157"/>
      <c r="V97" s="67"/>
      <c r="Z97" s="157"/>
    </row>
    <row r="98">
      <c r="D98" s="157"/>
      <c r="E98" s="67"/>
      <c r="I98" s="157"/>
      <c r="M98" s="157"/>
      <c r="Q98" s="157"/>
      <c r="U98" s="157"/>
      <c r="V98" s="67"/>
      <c r="Z98" s="157"/>
    </row>
    <row r="99">
      <c r="D99" s="157"/>
      <c r="E99" s="67"/>
      <c r="I99" s="157"/>
      <c r="M99" s="157"/>
      <c r="Q99" s="157"/>
      <c r="U99" s="157"/>
      <c r="V99" s="67"/>
      <c r="Z99" s="157"/>
    </row>
    <row r="100">
      <c r="D100" s="157"/>
      <c r="E100" s="67"/>
      <c r="I100" s="157"/>
      <c r="M100" s="157"/>
      <c r="Q100" s="157"/>
      <c r="U100" s="157"/>
      <c r="V100" s="67"/>
      <c r="Z100" s="157"/>
    </row>
    <row r="101">
      <c r="D101" s="157"/>
      <c r="E101" s="67"/>
      <c r="I101" s="157"/>
      <c r="M101" s="157"/>
      <c r="Q101" s="157"/>
      <c r="U101" s="157"/>
      <c r="V101" s="67"/>
      <c r="Z101" s="157"/>
    </row>
    <row r="102">
      <c r="D102" s="157"/>
      <c r="E102" s="67"/>
      <c r="I102" s="157"/>
      <c r="M102" s="157"/>
      <c r="Q102" s="157"/>
      <c r="U102" s="157"/>
      <c r="V102" s="67"/>
      <c r="Z102" s="157"/>
    </row>
    <row r="103">
      <c r="D103" s="157"/>
      <c r="E103" s="67"/>
      <c r="I103" s="157"/>
      <c r="M103" s="157"/>
      <c r="Q103" s="157"/>
      <c r="U103" s="157"/>
      <c r="V103" s="67"/>
      <c r="Z103" s="157"/>
    </row>
    <row r="104">
      <c r="D104" s="157"/>
      <c r="E104" s="67"/>
      <c r="I104" s="157"/>
      <c r="M104" s="157"/>
      <c r="Q104" s="157"/>
      <c r="U104" s="157"/>
      <c r="V104" s="67"/>
      <c r="Z104" s="157"/>
    </row>
    <row r="105">
      <c r="D105" s="157"/>
      <c r="E105" s="67"/>
      <c r="I105" s="157"/>
      <c r="M105" s="157"/>
      <c r="Q105" s="157"/>
      <c r="U105" s="157"/>
      <c r="V105" s="67"/>
      <c r="Z105" s="157"/>
    </row>
    <row r="106">
      <c r="D106" s="157"/>
      <c r="E106" s="67"/>
      <c r="I106" s="157"/>
      <c r="M106" s="157"/>
      <c r="Q106" s="157"/>
      <c r="U106" s="157"/>
      <c r="V106" s="67"/>
      <c r="Z106" s="157"/>
    </row>
    <row r="107">
      <c r="D107" s="157"/>
      <c r="E107" s="67"/>
      <c r="I107" s="157"/>
      <c r="M107" s="157"/>
      <c r="Q107" s="157"/>
      <c r="U107" s="157"/>
      <c r="V107" s="67"/>
      <c r="Z107" s="157"/>
    </row>
    <row r="108">
      <c r="D108" s="157"/>
      <c r="E108" s="67"/>
      <c r="I108" s="157"/>
      <c r="M108" s="157"/>
      <c r="Q108" s="157"/>
      <c r="U108" s="157"/>
      <c r="V108" s="67"/>
      <c r="Z108" s="157"/>
    </row>
    <row r="109">
      <c r="D109" s="157"/>
      <c r="E109" s="67"/>
      <c r="I109" s="157"/>
      <c r="M109" s="157"/>
      <c r="Q109" s="157"/>
      <c r="U109" s="157"/>
      <c r="V109" s="67"/>
      <c r="Z109" s="157"/>
    </row>
    <row r="110">
      <c r="D110" s="157"/>
      <c r="E110" s="67"/>
      <c r="I110" s="157"/>
      <c r="M110" s="157"/>
      <c r="Q110" s="157"/>
      <c r="U110" s="157"/>
      <c r="V110" s="67"/>
      <c r="Z110" s="157"/>
    </row>
    <row r="111">
      <c r="D111" s="157"/>
      <c r="E111" s="67"/>
      <c r="I111" s="157"/>
      <c r="M111" s="157"/>
      <c r="Q111" s="157"/>
      <c r="U111" s="157"/>
      <c r="V111" s="67"/>
      <c r="Z111" s="157"/>
    </row>
    <row r="112">
      <c r="D112" s="157"/>
      <c r="E112" s="67"/>
      <c r="I112" s="157"/>
      <c r="M112" s="157"/>
      <c r="Q112" s="157"/>
      <c r="U112" s="157"/>
      <c r="V112" s="67"/>
      <c r="Z112" s="157"/>
    </row>
    <row r="113">
      <c r="D113" s="157"/>
      <c r="E113" s="67"/>
      <c r="I113" s="157"/>
      <c r="M113" s="157"/>
      <c r="Q113" s="157"/>
      <c r="U113" s="157"/>
      <c r="V113" s="67"/>
      <c r="Z113" s="157"/>
    </row>
    <row r="114">
      <c r="D114" s="157"/>
      <c r="E114" s="67"/>
      <c r="I114" s="157"/>
      <c r="M114" s="157"/>
      <c r="Q114" s="157"/>
      <c r="U114" s="157"/>
      <c r="V114" s="67"/>
      <c r="Z114" s="157"/>
    </row>
    <row r="115">
      <c r="D115" s="157"/>
      <c r="E115" s="67"/>
      <c r="I115" s="157"/>
      <c r="M115" s="157"/>
      <c r="Q115" s="157"/>
      <c r="U115" s="157"/>
      <c r="V115" s="67"/>
      <c r="Z115" s="157"/>
    </row>
    <row r="116">
      <c r="D116" s="157"/>
      <c r="E116" s="67"/>
      <c r="I116" s="157"/>
      <c r="M116" s="157"/>
      <c r="Q116" s="157"/>
      <c r="U116" s="157"/>
      <c r="V116" s="67"/>
      <c r="Z116" s="157"/>
    </row>
    <row r="117">
      <c r="D117" s="157"/>
      <c r="E117" s="67"/>
      <c r="I117" s="157"/>
      <c r="M117" s="157"/>
      <c r="Q117" s="157"/>
      <c r="U117" s="157"/>
      <c r="V117" s="67"/>
      <c r="Z117" s="157"/>
    </row>
    <row r="118">
      <c r="D118" s="157"/>
      <c r="E118" s="67"/>
      <c r="I118" s="157"/>
      <c r="M118" s="157"/>
      <c r="Q118" s="157"/>
      <c r="U118" s="157"/>
      <c r="V118" s="67"/>
      <c r="Z118" s="157"/>
    </row>
    <row r="119">
      <c r="D119" s="157"/>
      <c r="E119" s="67"/>
      <c r="I119" s="157"/>
      <c r="M119" s="157"/>
      <c r="Q119" s="157"/>
      <c r="U119" s="157"/>
      <c r="V119" s="67"/>
      <c r="Z119" s="157"/>
    </row>
    <row r="120">
      <c r="D120" s="157"/>
      <c r="E120" s="67"/>
      <c r="I120" s="157"/>
      <c r="M120" s="157"/>
      <c r="Q120" s="157"/>
      <c r="U120" s="157"/>
      <c r="V120" s="67"/>
      <c r="Z120" s="157"/>
    </row>
    <row r="121">
      <c r="D121" s="157"/>
      <c r="E121" s="67"/>
      <c r="I121" s="157"/>
      <c r="M121" s="157"/>
      <c r="Q121" s="157"/>
      <c r="U121" s="157"/>
      <c r="V121" s="67"/>
      <c r="Z121" s="157"/>
    </row>
    <row r="122">
      <c r="D122" s="157"/>
      <c r="E122" s="67"/>
      <c r="I122" s="157"/>
      <c r="M122" s="157"/>
      <c r="Q122" s="157"/>
      <c r="U122" s="157"/>
      <c r="V122" s="67"/>
      <c r="Z122" s="157"/>
    </row>
    <row r="123">
      <c r="D123" s="157"/>
      <c r="E123" s="67"/>
      <c r="I123" s="157"/>
      <c r="M123" s="157"/>
      <c r="Q123" s="157"/>
      <c r="U123" s="157"/>
      <c r="V123" s="67"/>
      <c r="Z123" s="157"/>
    </row>
    <row r="124">
      <c r="D124" s="157"/>
      <c r="E124" s="67"/>
      <c r="I124" s="157"/>
      <c r="M124" s="157"/>
      <c r="Q124" s="157"/>
      <c r="U124" s="157"/>
      <c r="V124" s="67"/>
      <c r="Z124" s="157"/>
    </row>
    <row r="125">
      <c r="D125" s="157"/>
      <c r="E125" s="67"/>
      <c r="I125" s="157"/>
      <c r="M125" s="157"/>
      <c r="Q125" s="157"/>
      <c r="U125" s="157"/>
      <c r="V125" s="67"/>
      <c r="Z125" s="157"/>
    </row>
    <row r="126">
      <c r="D126" s="157"/>
      <c r="E126" s="67"/>
      <c r="I126" s="157"/>
      <c r="M126" s="157"/>
      <c r="Q126" s="157"/>
      <c r="U126" s="157"/>
      <c r="V126" s="67"/>
      <c r="Z126" s="157"/>
    </row>
    <row r="127">
      <c r="D127" s="157"/>
      <c r="E127" s="67"/>
      <c r="I127" s="157"/>
      <c r="M127" s="157"/>
      <c r="Q127" s="157"/>
      <c r="U127" s="157"/>
      <c r="V127" s="67"/>
      <c r="Z127" s="157"/>
    </row>
    <row r="128">
      <c r="D128" s="157"/>
      <c r="E128" s="67"/>
      <c r="I128" s="157"/>
      <c r="M128" s="157"/>
      <c r="Q128" s="157"/>
      <c r="U128" s="157"/>
      <c r="V128" s="67"/>
      <c r="Z128" s="157"/>
    </row>
    <row r="129">
      <c r="D129" s="157"/>
      <c r="E129" s="67"/>
      <c r="I129" s="157"/>
      <c r="M129" s="157"/>
      <c r="Q129" s="157"/>
      <c r="U129" s="157"/>
      <c r="V129" s="67"/>
      <c r="Z129" s="157"/>
    </row>
    <row r="130">
      <c r="D130" s="157"/>
      <c r="E130" s="67"/>
      <c r="I130" s="157"/>
      <c r="M130" s="157"/>
      <c r="Q130" s="157"/>
      <c r="U130" s="157"/>
      <c r="V130" s="67"/>
      <c r="Z130" s="157"/>
    </row>
    <row r="131">
      <c r="D131" s="157"/>
      <c r="E131" s="67"/>
      <c r="I131" s="157"/>
      <c r="M131" s="157"/>
      <c r="Q131" s="157"/>
      <c r="U131" s="157"/>
      <c r="V131" s="67"/>
      <c r="Z131" s="157"/>
    </row>
    <row r="132">
      <c r="D132" s="157"/>
      <c r="E132" s="67"/>
      <c r="I132" s="157"/>
      <c r="M132" s="157"/>
      <c r="Q132" s="157"/>
      <c r="U132" s="157"/>
      <c r="V132" s="67"/>
      <c r="Z132" s="157"/>
    </row>
    <row r="133">
      <c r="D133" s="157"/>
      <c r="E133" s="67"/>
      <c r="I133" s="157"/>
      <c r="M133" s="157"/>
      <c r="Q133" s="157"/>
      <c r="U133" s="157"/>
      <c r="V133" s="67"/>
      <c r="Z133" s="157"/>
    </row>
    <row r="134">
      <c r="D134" s="157"/>
      <c r="E134" s="67"/>
      <c r="I134" s="157"/>
      <c r="M134" s="157"/>
      <c r="Q134" s="157"/>
      <c r="U134" s="157"/>
      <c r="V134" s="67"/>
      <c r="Z134" s="157"/>
    </row>
    <row r="135">
      <c r="D135" s="157"/>
      <c r="E135" s="67"/>
      <c r="I135" s="157"/>
      <c r="M135" s="157"/>
      <c r="Q135" s="157"/>
      <c r="U135" s="157"/>
      <c r="V135" s="67"/>
      <c r="Z135" s="157"/>
    </row>
    <row r="136">
      <c r="D136" s="157"/>
      <c r="E136" s="67"/>
      <c r="I136" s="157"/>
      <c r="M136" s="157"/>
      <c r="Q136" s="157"/>
      <c r="U136" s="157"/>
      <c r="V136" s="67"/>
      <c r="Z136" s="157"/>
    </row>
    <row r="137">
      <c r="D137" s="157"/>
      <c r="E137" s="67"/>
      <c r="I137" s="157"/>
      <c r="M137" s="157"/>
      <c r="Q137" s="157"/>
      <c r="U137" s="157"/>
      <c r="V137" s="67"/>
      <c r="Z137" s="157"/>
    </row>
    <row r="138">
      <c r="D138" s="157"/>
      <c r="E138" s="67"/>
      <c r="I138" s="157"/>
      <c r="M138" s="157"/>
      <c r="Q138" s="157"/>
      <c r="U138" s="157"/>
      <c r="V138" s="67"/>
      <c r="Z138" s="157"/>
    </row>
    <row r="139">
      <c r="D139" s="157"/>
      <c r="E139" s="67"/>
      <c r="I139" s="157"/>
      <c r="M139" s="157"/>
      <c r="Q139" s="157"/>
      <c r="U139" s="157"/>
      <c r="V139" s="67"/>
      <c r="Z139" s="157"/>
    </row>
    <row r="140">
      <c r="D140" s="157"/>
      <c r="E140" s="67"/>
      <c r="I140" s="157"/>
      <c r="M140" s="157"/>
      <c r="Q140" s="157"/>
      <c r="U140" s="157"/>
      <c r="V140" s="67"/>
      <c r="Z140" s="157"/>
    </row>
    <row r="141">
      <c r="D141" s="157"/>
      <c r="E141" s="67"/>
      <c r="I141" s="157"/>
      <c r="M141" s="157"/>
      <c r="Q141" s="157"/>
      <c r="U141" s="157"/>
      <c r="V141" s="67"/>
      <c r="Z141" s="157"/>
    </row>
    <row r="142">
      <c r="D142" s="157"/>
      <c r="E142" s="67"/>
      <c r="I142" s="157"/>
      <c r="M142" s="157"/>
      <c r="Q142" s="157"/>
      <c r="U142" s="157"/>
      <c r="V142" s="67"/>
      <c r="Z142" s="157"/>
    </row>
    <row r="143">
      <c r="D143" s="157"/>
      <c r="E143" s="67"/>
      <c r="I143" s="157"/>
      <c r="M143" s="157"/>
      <c r="Q143" s="157"/>
      <c r="U143" s="157"/>
      <c r="V143" s="67"/>
      <c r="Z143" s="157"/>
    </row>
    <row r="144">
      <c r="D144" s="157"/>
      <c r="E144" s="67"/>
      <c r="I144" s="157"/>
      <c r="M144" s="157"/>
      <c r="Q144" s="157"/>
      <c r="U144" s="157"/>
      <c r="V144" s="67"/>
      <c r="Z144" s="157"/>
    </row>
    <row r="145">
      <c r="D145" s="157"/>
      <c r="E145" s="67"/>
      <c r="I145" s="157"/>
      <c r="M145" s="157"/>
      <c r="Q145" s="157"/>
      <c r="U145" s="157"/>
      <c r="V145" s="67"/>
      <c r="Z145" s="157"/>
    </row>
    <row r="146">
      <c r="D146" s="157"/>
      <c r="E146" s="67"/>
      <c r="I146" s="157"/>
      <c r="M146" s="157"/>
      <c r="Q146" s="157"/>
      <c r="U146" s="157"/>
      <c r="V146" s="67"/>
      <c r="Z146" s="157"/>
    </row>
    <row r="147">
      <c r="D147" s="157"/>
      <c r="E147" s="67"/>
      <c r="I147" s="157"/>
      <c r="M147" s="157"/>
      <c r="Q147" s="157"/>
      <c r="U147" s="157"/>
      <c r="V147" s="67"/>
      <c r="Z147" s="157"/>
    </row>
    <row r="148">
      <c r="D148" s="157"/>
      <c r="E148" s="67"/>
      <c r="I148" s="157"/>
      <c r="M148" s="157"/>
      <c r="Q148" s="157"/>
      <c r="U148" s="157"/>
      <c r="V148" s="67"/>
      <c r="Z148" s="157"/>
    </row>
    <row r="149">
      <c r="D149" s="157"/>
      <c r="E149" s="67"/>
      <c r="I149" s="157"/>
      <c r="M149" s="157"/>
      <c r="Q149" s="157"/>
      <c r="U149" s="157"/>
      <c r="V149" s="67"/>
      <c r="Z149" s="157"/>
    </row>
    <row r="150">
      <c r="D150" s="157"/>
      <c r="E150" s="67"/>
      <c r="I150" s="157"/>
      <c r="M150" s="157"/>
      <c r="Q150" s="157"/>
      <c r="U150" s="157"/>
      <c r="V150" s="67"/>
      <c r="Z150" s="157"/>
    </row>
    <row r="151">
      <c r="D151" s="157"/>
      <c r="E151" s="67"/>
      <c r="I151" s="157"/>
      <c r="M151" s="157"/>
      <c r="Q151" s="157"/>
      <c r="U151" s="157"/>
      <c r="V151" s="67"/>
      <c r="Z151" s="157"/>
    </row>
    <row r="152">
      <c r="D152" s="157"/>
      <c r="E152" s="67"/>
      <c r="I152" s="157"/>
      <c r="M152" s="157"/>
      <c r="Q152" s="157"/>
      <c r="U152" s="157"/>
      <c r="V152" s="67"/>
      <c r="Z152" s="157"/>
    </row>
    <row r="153">
      <c r="D153" s="157"/>
      <c r="E153" s="67"/>
      <c r="I153" s="157"/>
      <c r="M153" s="157"/>
      <c r="Q153" s="157"/>
      <c r="U153" s="157"/>
      <c r="V153" s="67"/>
      <c r="Z153" s="157"/>
    </row>
    <row r="154">
      <c r="D154" s="157"/>
      <c r="E154" s="67"/>
      <c r="I154" s="157"/>
      <c r="M154" s="157"/>
      <c r="Q154" s="157"/>
      <c r="U154" s="157"/>
      <c r="V154" s="67"/>
      <c r="Z154" s="157"/>
    </row>
    <row r="155">
      <c r="D155" s="157"/>
      <c r="E155" s="67"/>
      <c r="I155" s="157"/>
      <c r="M155" s="157"/>
      <c r="Q155" s="157"/>
      <c r="U155" s="157"/>
      <c r="V155" s="67"/>
      <c r="Z155" s="157"/>
    </row>
    <row r="156">
      <c r="D156" s="157"/>
      <c r="E156" s="67"/>
      <c r="I156" s="157"/>
      <c r="M156" s="157"/>
      <c r="Q156" s="157"/>
      <c r="U156" s="157"/>
      <c r="V156" s="67"/>
      <c r="Z156" s="157"/>
    </row>
    <row r="157">
      <c r="D157" s="157"/>
      <c r="E157" s="67"/>
      <c r="I157" s="157"/>
      <c r="M157" s="157"/>
      <c r="Q157" s="157"/>
      <c r="U157" s="157"/>
      <c r="V157" s="67"/>
      <c r="Z157" s="157"/>
    </row>
    <row r="158">
      <c r="D158" s="157"/>
      <c r="E158" s="67"/>
      <c r="I158" s="157"/>
      <c r="M158" s="157"/>
      <c r="Q158" s="157"/>
      <c r="U158" s="157"/>
      <c r="V158" s="67"/>
      <c r="Z158" s="157"/>
    </row>
    <row r="159">
      <c r="D159" s="157"/>
      <c r="E159" s="67"/>
      <c r="I159" s="157"/>
      <c r="M159" s="157"/>
      <c r="Q159" s="157"/>
      <c r="U159" s="157"/>
      <c r="V159" s="67"/>
      <c r="Z159" s="157"/>
    </row>
    <row r="160">
      <c r="D160" s="157"/>
      <c r="E160" s="67"/>
      <c r="I160" s="157"/>
      <c r="M160" s="157"/>
      <c r="Q160" s="157"/>
      <c r="U160" s="157"/>
      <c r="V160" s="67"/>
      <c r="Z160" s="157"/>
    </row>
    <row r="161">
      <c r="D161" s="157"/>
      <c r="E161" s="67"/>
      <c r="I161" s="157"/>
      <c r="M161" s="157"/>
      <c r="Q161" s="157"/>
      <c r="U161" s="157"/>
      <c r="V161" s="67"/>
      <c r="Z161" s="157"/>
    </row>
    <row r="162">
      <c r="D162" s="157"/>
      <c r="E162" s="67"/>
      <c r="I162" s="157"/>
      <c r="M162" s="157"/>
      <c r="Q162" s="157"/>
      <c r="U162" s="157"/>
      <c r="V162" s="67"/>
      <c r="Z162" s="157"/>
    </row>
    <row r="163">
      <c r="D163" s="157"/>
      <c r="E163" s="67"/>
      <c r="I163" s="157"/>
      <c r="M163" s="157"/>
      <c r="Q163" s="157"/>
      <c r="U163" s="157"/>
      <c r="V163" s="67"/>
      <c r="Z163" s="157"/>
    </row>
    <row r="164">
      <c r="D164" s="157"/>
      <c r="E164" s="67"/>
      <c r="I164" s="157"/>
      <c r="M164" s="157"/>
      <c r="Q164" s="157"/>
      <c r="U164" s="157"/>
      <c r="V164" s="67"/>
      <c r="Z164" s="157"/>
    </row>
    <row r="165">
      <c r="D165" s="157"/>
      <c r="E165" s="67"/>
      <c r="I165" s="157"/>
      <c r="M165" s="157"/>
      <c r="Q165" s="157"/>
      <c r="U165" s="157"/>
      <c r="V165" s="67"/>
      <c r="Z165" s="157"/>
    </row>
    <row r="166">
      <c r="D166" s="157"/>
      <c r="E166" s="67"/>
      <c r="I166" s="157"/>
      <c r="M166" s="157"/>
      <c r="Q166" s="157"/>
      <c r="U166" s="157"/>
      <c r="V166" s="67"/>
      <c r="Z166" s="157"/>
    </row>
    <row r="167">
      <c r="D167" s="157"/>
      <c r="E167" s="67"/>
      <c r="I167" s="157"/>
      <c r="M167" s="157"/>
      <c r="Q167" s="157"/>
      <c r="U167" s="157"/>
      <c r="V167" s="67"/>
      <c r="Z167" s="157"/>
    </row>
    <row r="168">
      <c r="D168" s="157"/>
      <c r="E168" s="67"/>
      <c r="I168" s="157"/>
      <c r="M168" s="157"/>
      <c r="Q168" s="157"/>
      <c r="U168" s="157"/>
      <c r="V168" s="67"/>
      <c r="Z168" s="157"/>
    </row>
    <row r="169">
      <c r="D169" s="157"/>
      <c r="E169" s="67"/>
      <c r="I169" s="157"/>
      <c r="M169" s="157"/>
      <c r="Q169" s="157"/>
      <c r="U169" s="157"/>
      <c r="V169" s="67"/>
      <c r="Z169" s="157"/>
    </row>
    <row r="170">
      <c r="D170" s="157"/>
      <c r="E170" s="67"/>
      <c r="I170" s="157"/>
      <c r="M170" s="157"/>
      <c r="Q170" s="157"/>
      <c r="U170" s="157"/>
      <c r="V170" s="67"/>
      <c r="Z170" s="157"/>
    </row>
    <row r="171">
      <c r="D171" s="157"/>
      <c r="E171" s="67"/>
      <c r="I171" s="157"/>
      <c r="M171" s="157"/>
      <c r="Q171" s="157"/>
      <c r="U171" s="157"/>
      <c r="V171" s="67"/>
      <c r="Z171" s="157"/>
    </row>
    <row r="172">
      <c r="D172" s="157"/>
      <c r="E172" s="67"/>
      <c r="I172" s="157"/>
      <c r="M172" s="157"/>
      <c r="Q172" s="157"/>
      <c r="U172" s="157"/>
      <c r="V172" s="67"/>
      <c r="Z172" s="157"/>
    </row>
    <row r="173">
      <c r="D173" s="157"/>
      <c r="E173" s="67"/>
      <c r="I173" s="157"/>
      <c r="M173" s="157"/>
      <c r="Q173" s="157"/>
      <c r="U173" s="157"/>
      <c r="V173" s="67"/>
      <c r="Z173" s="157"/>
    </row>
    <row r="174">
      <c r="D174" s="157"/>
      <c r="E174" s="67"/>
      <c r="I174" s="157"/>
      <c r="M174" s="157"/>
      <c r="Q174" s="157"/>
      <c r="U174" s="157"/>
      <c r="V174" s="67"/>
      <c r="Z174" s="157"/>
    </row>
    <row r="175">
      <c r="D175" s="157"/>
      <c r="E175" s="67"/>
      <c r="I175" s="157"/>
      <c r="M175" s="157"/>
      <c r="Q175" s="157"/>
      <c r="U175" s="157"/>
      <c r="V175" s="67"/>
      <c r="Z175" s="157"/>
    </row>
    <row r="176">
      <c r="D176" s="157"/>
      <c r="E176" s="67"/>
      <c r="I176" s="157"/>
      <c r="M176" s="157"/>
      <c r="Q176" s="157"/>
      <c r="U176" s="157"/>
      <c r="V176" s="67"/>
      <c r="Z176" s="157"/>
    </row>
    <row r="177">
      <c r="D177" s="157"/>
      <c r="E177" s="67"/>
      <c r="I177" s="157"/>
      <c r="M177" s="157"/>
      <c r="Q177" s="157"/>
      <c r="U177" s="157"/>
      <c r="V177" s="67"/>
      <c r="Z177" s="157"/>
    </row>
    <row r="178">
      <c r="D178" s="157"/>
      <c r="E178" s="67"/>
      <c r="I178" s="157"/>
      <c r="M178" s="157"/>
      <c r="Q178" s="157"/>
      <c r="U178" s="157"/>
      <c r="V178" s="67"/>
      <c r="Z178" s="157"/>
    </row>
    <row r="179">
      <c r="D179" s="157"/>
      <c r="E179" s="67"/>
      <c r="I179" s="157"/>
      <c r="M179" s="157"/>
      <c r="Q179" s="157"/>
      <c r="U179" s="157"/>
      <c r="V179" s="67"/>
      <c r="Z179" s="157"/>
    </row>
    <row r="180">
      <c r="D180" s="157"/>
      <c r="E180" s="67"/>
      <c r="I180" s="157"/>
      <c r="M180" s="157"/>
      <c r="Q180" s="157"/>
      <c r="U180" s="157"/>
      <c r="V180" s="67"/>
      <c r="Z180" s="157"/>
    </row>
    <row r="181">
      <c r="D181" s="157"/>
      <c r="E181" s="67"/>
      <c r="I181" s="157"/>
      <c r="M181" s="157"/>
      <c r="Q181" s="157"/>
      <c r="U181" s="157"/>
      <c r="V181" s="67"/>
      <c r="Z181" s="157"/>
    </row>
    <row r="182">
      <c r="D182" s="157"/>
      <c r="E182" s="67"/>
      <c r="I182" s="157"/>
      <c r="M182" s="157"/>
      <c r="Q182" s="157"/>
      <c r="U182" s="157"/>
      <c r="V182" s="67"/>
      <c r="Z182" s="157"/>
    </row>
    <row r="183">
      <c r="D183" s="157"/>
      <c r="E183" s="67"/>
      <c r="I183" s="157"/>
      <c r="M183" s="157"/>
      <c r="Q183" s="157"/>
      <c r="U183" s="157"/>
      <c r="V183" s="67"/>
      <c r="Z183" s="157"/>
    </row>
    <row r="184">
      <c r="D184" s="157"/>
      <c r="E184" s="67"/>
      <c r="I184" s="157"/>
      <c r="M184" s="157"/>
      <c r="Q184" s="157"/>
      <c r="U184" s="157"/>
      <c r="V184" s="67"/>
      <c r="Z184" s="157"/>
    </row>
    <row r="185">
      <c r="D185" s="157"/>
      <c r="E185" s="67"/>
      <c r="I185" s="157"/>
      <c r="M185" s="157"/>
      <c r="Q185" s="157"/>
      <c r="U185" s="157"/>
      <c r="V185" s="67"/>
      <c r="Z185" s="157"/>
    </row>
    <row r="186">
      <c r="D186" s="157"/>
      <c r="E186" s="67"/>
      <c r="I186" s="157"/>
      <c r="M186" s="157"/>
      <c r="Q186" s="157"/>
      <c r="U186" s="157"/>
      <c r="V186" s="67"/>
      <c r="Z186" s="157"/>
    </row>
    <row r="187">
      <c r="D187" s="157"/>
      <c r="E187" s="67"/>
      <c r="I187" s="157"/>
      <c r="M187" s="157"/>
      <c r="Q187" s="157"/>
      <c r="U187" s="157"/>
      <c r="V187" s="67"/>
      <c r="Z187" s="157"/>
    </row>
    <row r="188">
      <c r="D188" s="157"/>
      <c r="E188" s="67"/>
      <c r="I188" s="157"/>
      <c r="M188" s="157"/>
      <c r="Q188" s="157"/>
      <c r="U188" s="157"/>
      <c r="V188" s="67"/>
      <c r="Z188" s="157"/>
    </row>
    <row r="189">
      <c r="D189" s="157"/>
      <c r="E189" s="67"/>
      <c r="I189" s="157"/>
      <c r="M189" s="157"/>
      <c r="Q189" s="157"/>
      <c r="U189" s="157"/>
      <c r="V189" s="67"/>
      <c r="Z189" s="157"/>
    </row>
    <row r="190">
      <c r="D190" s="157"/>
      <c r="E190" s="67"/>
      <c r="I190" s="157"/>
      <c r="M190" s="157"/>
      <c r="Q190" s="157"/>
      <c r="U190" s="157"/>
      <c r="V190" s="67"/>
      <c r="Z190" s="157"/>
    </row>
    <row r="191">
      <c r="D191" s="157"/>
      <c r="E191" s="67"/>
      <c r="I191" s="157"/>
      <c r="M191" s="157"/>
      <c r="Q191" s="157"/>
      <c r="U191" s="157"/>
      <c r="V191" s="67"/>
      <c r="Z191" s="157"/>
    </row>
    <row r="192">
      <c r="D192" s="157"/>
      <c r="E192" s="67"/>
      <c r="I192" s="157"/>
      <c r="M192" s="157"/>
      <c r="Q192" s="157"/>
      <c r="U192" s="157"/>
      <c r="V192" s="67"/>
      <c r="Z192" s="157"/>
    </row>
    <row r="193">
      <c r="D193" s="157"/>
      <c r="E193" s="67"/>
      <c r="I193" s="157"/>
      <c r="M193" s="157"/>
      <c r="Q193" s="157"/>
      <c r="U193" s="157"/>
      <c r="V193" s="67"/>
      <c r="Z193" s="157"/>
    </row>
    <row r="194">
      <c r="D194" s="157"/>
      <c r="E194" s="67"/>
      <c r="I194" s="157"/>
      <c r="M194" s="157"/>
      <c r="Q194" s="157"/>
      <c r="U194" s="157"/>
      <c r="V194" s="67"/>
      <c r="Z194" s="157"/>
    </row>
    <row r="195">
      <c r="D195" s="157"/>
      <c r="E195" s="67"/>
      <c r="I195" s="157"/>
      <c r="M195" s="157"/>
      <c r="Q195" s="157"/>
      <c r="U195" s="157"/>
      <c r="V195" s="67"/>
      <c r="Z195" s="157"/>
    </row>
    <row r="196">
      <c r="D196" s="157"/>
      <c r="E196" s="67"/>
      <c r="I196" s="157"/>
      <c r="M196" s="157"/>
      <c r="Q196" s="157"/>
      <c r="U196" s="157"/>
      <c r="V196" s="67"/>
      <c r="Z196" s="157"/>
    </row>
    <row r="197">
      <c r="D197" s="157"/>
      <c r="E197" s="67"/>
      <c r="I197" s="157"/>
      <c r="M197" s="157"/>
      <c r="Q197" s="157"/>
      <c r="U197" s="157"/>
      <c r="V197" s="67"/>
      <c r="Z197" s="157"/>
    </row>
    <row r="198">
      <c r="D198" s="157"/>
      <c r="E198" s="67"/>
      <c r="I198" s="157"/>
      <c r="M198" s="157"/>
      <c r="Q198" s="157"/>
      <c r="U198" s="157"/>
      <c r="V198" s="67"/>
      <c r="Z198" s="157"/>
    </row>
    <row r="199">
      <c r="D199" s="157"/>
      <c r="E199" s="67"/>
      <c r="I199" s="157"/>
      <c r="M199" s="157"/>
      <c r="Q199" s="157"/>
      <c r="U199" s="157"/>
      <c r="V199" s="67"/>
      <c r="Z199" s="157"/>
    </row>
    <row r="200">
      <c r="D200" s="157"/>
      <c r="E200" s="67"/>
      <c r="I200" s="157"/>
      <c r="M200" s="157"/>
      <c r="Q200" s="157"/>
      <c r="U200" s="157"/>
      <c r="V200" s="67"/>
      <c r="Z200" s="157"/>
    </row>
    <row r="201">
      <c r="D201" s="157"/>
      <c r="E201" s="67"/>
      <c r="I201" s="157"/>
      <c r="M201" s="157"/>
      <c r="Q201" s="157"/>
      <c r="U201" s="157"/>
      <c r="V201" s="67"/>
      <c r="Z201" s="157"/>
    </row>
    <row r="202">
      <c r="D202" s="157"/>
      <c r="E202" s="67"/>
      <c r="I202" s="157"/>
      <c r="M202" s="157"/>
      <c r="Q202" s="157"/>
      <c r="U202" s="157"/>
      <c r="V202" s="67"/>
      <c r="Z202" s="157"/>
    </row>
    <row r="203">
      <c r="D203" s="157"/>
      <c r="E203" s="67"/>
      <c r="I203" s="157"/>
      <c r="M203" s="157"/>
      <c r="Q203" s="157"/>
      <c r="U203" s="157"/>
      <c r="V203" s="67"/>
      <c r="Z203" s="157"/>
    </row>
    <row r="204">
      <c r="D204" s="157"/>
      <c r="E204" s="67"/>
      <c r="I204" s="157"/>
      <c r="M204" s="157"/>
      <c r="Q204" s="157"/>
      <c r="U204" s="157"/>
      <c r="V204" s="67"/>
      <c r="Z204" s="157"/>
    </row>
    <row r="205">
      <c r="D205" s="157"/>
      <c r="E205" s="67"/>
      <c r="I205" s="157"/>
      <c r="M205" s="157"/>
      <c r="Q205" s="157"/>
      <c r="U205" s="157"/>
      <c r="V205" s="67"/>
      <c r="Z205" s="157"/>
    </row>
    <row r="206">
      <c r="D206" s="157"/>
      <c r="E206" s="67"/>
      <c r="I206" s="157"/>
      <c r="M206" s="157"/>
      <c r="Q206" s="157"/>
      <c r="U206" s="157"/>
      <c r="V206" s="67"/>
      <c r="Z206" s="157"/>
    </row>
    <row r="207">
      <c r="D207" s="157"/>
      <c r="E207" s="67"/>
      <c r="I207" s="157"/>
      <c r="M207" s="157"/>
      <c r="Q207" s="157"/>
      <c r="U207" s="157"/>
      <c r="V207" s="67"/>
      <c r="Z207" s="157"/>
    </row>
    <row r="208">
      <c r="D208" s="157"/>
      <c r="E208" s="67"/>
      <c r="I208" s="157"/>
      <c r="M208" s="157"/>
      <c r="Q208" s="157"/>
      <c r="U208" s="157"/>
      <c r="V208" s="67"/>
      <c r="Z208" s="157"/>
    </row>
    <row r="209">
      <c r="D209" s="157"/>
      <c r="E209" s="67"/>
      <c r="I209" s="157"/>
      <c r="M209" s="157"/>
      <c r="Q209" s="157"/>
      <c r="U209" s="157"/>
      <c r="V209" s="67"/>
      <c r="Z209" s="157"/>
    </row>
    <row r="210">
      <c r="D210" s="157"/>
      <c r="E210" s="67"/>
      <c r="I210" s="157"/>
      <c r="M210" s="157"/>
      <c r="Q210" s="157"/>
      <c r="U210" s="157"/>
      <c r="V210" s="67"/>
      <c r="Z210" s="157"/>
    </row>
    <row r="211">
      <c r="D211" s="157"/>
      <c r="E211" s="67"/>
      <c r="I211" s="157"/>
      <c r="M211" s="157"/>
      <c r="Q211" s="157"/>
      <c r="U211" s="157"/>
      <c r="V211" s="67"/>
      <c r="Z211" s="157"/>
    </row>
    <row r="212">
      <c r="D212" s="157"/>
      <c r="E212" s="67"/>
      <c r="I212" s="157"/>
      <c r="M212" s="157"/>
      <c r="Q212" s="157"/>
      <c r="U212" s="157"/>
      <c r="V212" s="67"/>
      <c r="Z212" s="157"/>
    </row>
    <row r="213">
      <c r="D213" s="157"/>
      <c r="E213" s="67"/>
      <c r="I213" s="157"/>
      <c r="M213" s="157"/>
      <c r="Q213" s="157"/>
      <c r="U213" s="157"/>
      <c r="V213" s="67"/>
      <c r="Z213" s="157"/>
    </row>
    <row r="214">
      <c r="D214" s="157"/>
      <c r="E214" s="67"/>
      <c r="I214" s="157"/>
      <c r="M214" s="157"/>
      <c r="Q214" s="157"/>
      <c r="U214" s="157"/>
      <c r="V214" s="67"/>
      <c r="Z214" s="157"/>
    </row>
    <row r="215">
      <c r="D215" s="157"/>
      <c r="E215" s="67"/>
      <c r="I215" s="157"/>
      <c r="M215" s="157"/>
      <c r="Q215" s="157"/>
      <c r="U215" s="157"/>
      <c r="V215" s="67"/>
      <c r="Z215" s="157"/>
    </row>
    <row r="216">
      <c r="D216" s="157"/>
      <c r="E216" s="67"/>
      <c r="I216" s="157"/>
      <c r="M216" s="157"/>
      <c r="Q216" s="157"/>
      <c r="U216" s="157"/>
      <c r="V216" s="67"/>
      <c r="Z216" s="157"/>
    </row>
    <row r="217">
      <c r="D217" s="157"/>
      <c r="E217" s="67"/>
      <c r="I217" s="157"/>
      <c r="M217" s="157"/>
      <c r="Q217" s="157"/>
      <c r="U217" s="157"/>
      <c r="V217" s="67"/>
      <c r="Z217" s="157"/>
    </row>
    <row r="218">
      <c r="D218" s="157"/>
      <c r="E218" s="67"/>
      <c r="I218" s="157"/>
      <c r="M218" s="157"/>
      <c r="Q218" s="157"/>
      <c r="U218" s="157"/>
      <c r="V218" s="67"/>
      <c r="Z218" s="157"/>
    </row>
    <row r="219">
      <c r="D219" s="157"/>
      <c r="E219" s="67"/>
      <c r="I219" s="157"/>
      <c r="M219" s="157"/>
      <c r="Q219" s="157"/>
      <c r="U219" s="157"/>
      <c r="V219" s="67"/>
      <c r="Z219" s="157"/>
    </row>
    <row r="220">
      <c r="D220" s="157"/>
      <c r="E220" s="67"/>
      <c r="I220" s="157"/>
      <c r="M220" s="157"/>
      <c r="Q220" s="157"/>
      <c r="U220" s="157"/>
      <c r="V220" s="67"/>
      <c r="Z220" s="157"/>
    </row>
    <row r="221">
      <c r="D221" s="157"/>
      <c r="E221" s="67"/>
      <c r="I221" s="157"/>
      <c r="M221" s="157"/>
      <c r="Q221" s="157"/>
      <c r="U221" s="157"/>
      <c r="V221" s="67"/>
      <c r="Z221" s="157"/>
    </row>
    <row r="222">
      <c r="D222" s="157"/>
      <c r="E222" s="67"/>
      <c r="I222" s="157"/>
      <c r="M222" s="157"/>
      <c r="Q222" s="157"/>
      <c r="U222" s="157"/>
      <c r="V222" s="67"/>
      <c r="Z222" s="157"/>
    </row>
    <row r="223">
      <c r="D223" s="157"/>
      <c r="E223" s="67"/>
      <c r="I223" s="157"/>
      <c r="M223" s="157"/>
      <c r="Q223" s="157"/>
      <c r="U223" s="157"/>
      <c r="V223" s="67"/>
      <c r="Z223" s="157"/>
    </row>
    <row r="224">
      <c r="D224" s="157"/>
      <c r="E224" s="67"/>
      <c r="I224" s="157"/>
      <c r="M224" s="157"/>
      <c r="Q224" s="157"/>
      <c r="U224" s="157"/>
      <c r="V224" s="67"/>
      <c r="Z224" s="157"/>
    </row>
    <row r="225">
      <c r="D225" s="157"/>
      <c r="E225" s="67"/>
      <c r="I225" s="157"/>
      <c r="M225" s="157"/>
      <c r="Q225" s="157"/>
      <c r="U225" s="157"/>
      <c r="V225" s="67"/>
      <c r="Z225" s="157"/>
    </row>
    <row r="226">
      <c r="D226" s="157"/>
      <c r="E226" s="67"/>
      <c r="I226" s="157"/>
      <c r="M226" s="157"/>
      <c r="Q226" s="157"/>
      <c r="U226" s="157"/>
      <c r="V226" s="67"/>
      <c r="Z226" s="157"/>
    </row>
    <row r="227">
      <c r="D227" s="157"/>
      <c r="E227" s="67"/>
      <c r="I227" s="157"/>
      <c r="M227" s="157"/>
      <c r="Q227" s="157"/>
      <c r="U227" s="157"/>
      <c r="V227" s="67"/>
      <c r="Z227" s="157"/>
    </row>
    <row r="228">
      <c r="D228" s="157"/>
      <c r="E228" s="67"/>
      <c r="I228" s="157"/>
      <c r="M228" s="157"/>
      <c r="Q228" s="157"/>
      <c r="U228" s="157"/>
      <c r="V228" s="67"/>
      <c r="Z228" s="157"/>
    </row>
    <row r="229">
      <c r="D229" s="157"/>
      <c r="E229" s="67"/>
      <c r="I229" s="157"/>
      <c r="M229" s="157"/>
      <c r="Q229" s="157"/>
      <c r="U229" s="157"/>
      <c r="V229" s="67"/>
      <c r="Z229" s="157"/>
    </row>
    <row r="230">
      <c r="D230" s="157"/>
      <c r="E230" s="67"/>
      <c r="I230" s="157"/>
      <c r="M230" s="157"/>
      <c r="Q230" s="157"/>
      <c r="U230" s="157"/>
      <c r="V230" s="67"/>
      <c r="Z230" s="157"/>
    </row>
    <row r="231">
      <c r="D231" s="157"/>
      <c r="E231" s="67"/>
      <c r="I231" s="157"/>
      <c r="M231" s="157"/>
      <c r="Q231" s="157"/>
      <c r="U231" s="157"/>
      <c r="V231" s="67"/>
      <c r="Z231" s="157"/>
    </row>
    <row r="232">
      <c r="D232" s="157"/>
      <c r="E232" s="67"/>
      <c r="I232" s="157"/>
      <c r="M232" s="157"/>
      <c r="Q232" s="157"/>
      <c r="U232" s="157"/>
      <c r="V232" s="67"/>
      <c r="Z232" s="157"/>
    </row>
    <row r="233">
      <c r="D233" s="157"/>
      <c r="E233" s="67"/>
      <c r="I233" s="157"/>
      <c r="M233" s="157"/>
      <c r="Q233" s="157"/>
      <c r="U233" s="157"/>
      <c r="V233" s="67"/>
      <c r="Z233" s="157"/>
    </row>
    <row r="234">
      <c r="D234" s="157"/>
      <c r="E234" s="67"/>
      <c r="I234" s="157"/>
      <c r="M234" s="157"/>
      <c r="Q234" s="157"/>
      <c r="U234" s="157"/>
      <c r="V234" s="67"/>
      <c r="Z234" s="157"/>
    </row>
    <row r="235">
      <c r="D235" s="157"/>
      <c r="E235" s="67"/>
      <c r="I235" s="157"/>
      <c r="M235" s="157"/>
      <c r="Q235" s="157"/>
      <c r="U235" s="157"/>
      <c r="V235" s="67"/>
      <c r="Z235" s="157"/>
    </row>
    <row r="236">
      <c r="D236" s="157"/>
      <c r="E236" s="67"/>
      <c r="I236" s="157"/>
      <c r="M236" s="157"/>
      <c r="Q236" s="157"/>
      <c r="U236" s="157"/>
      <c r="V236" s="67"/>
      <c r="Z236" s="157"/>
    </row>
    <row r="237">
      <c r="D237" s="157"/>
      <c r="E237" s="67"/>
      <c r="I237" s="157"/>
      <c r="M237" s="157"/>
      <c r="Q237" s="157"/>
      <c r="U237" s="157"/>
      <c r="V237" s="67"/>
      <c r="Z237" s="157"/>
    </row>
    <row r="238">
      <c r="D238" s="157"/>
      <c r="E238" s="67"/>
      <c r="I238" s="157"/>
      <c r="M238" s="157"/>
      <c r="Q238" s="157"/>
      <c r="U238" s="157"/>
      <c r="V238" s="67"/>
      <c r="Z238" s="157"/>
    </row>
    <row r="239">
      <c r="D239" s="157"/>
      <c r="E239" s="67"/>
      <c r="I239" s="157"/>
      <c r="M239" s="157"/>
      <c r="Q239" s="157"/>
      <c r="U239" s="157"/>
      <c r="V239" s="67"/>
      <c r="Z239" s="157"/>
    </row>
    <row r="240">
      <c r="D240" s="157"/>
      <c r="E240" s="67"/>
      <c r="I240" s="157"/>
      <c r="M240" s="157"/>
      <c r="Q240" s="157"/>
      <c r="U240" s="157"/>
      <c r="V240" s="67"/>
      <c r="Z240" s="157"/>
    </row>
    <row r="241">
      <c r="D241" s="157"/>
      <c r="E241" s="67"/>
      <c r="I241" s="157"/>
      <c r="M241" s="157"/>
      <c r="Q241" s="157"/>
      <c r="U241" s="157"/>
      <c r="V241" s="67"/>
      <c r="Z241" s="157"/>
    </row>
    <row r="242">
      <c r="D242" s="157"/>
      <c r="E242" s="67"/>
      <c r="I242" s="157"/>
      <c r="M242" s="157"/>
      <c r="Q242" s="157"/>
      <c r="U242" s="157"/>
      <c r="V242" s="67"/>
      <c r="Z242" s="157"/>
    </row>
    <row r="243">
      <c r="D243" s="157"/>
      <c r="E243" s="67"/>
      <c r="I243" s="157"/>
      <c r="M243" s="157"/>
      <c r="Q243" s="157"/>
      <c r="U243" s="157"/>
      <c r="V243" s="67"/>
      <c r="Z243" s="157"/>
    </row>
    <row r="244">
      <c r="D244" s="157"/>
      <c r="E244" s="67"/>
      <c r="I244" s="157"/>
      <c r="M244" s="157"/>
      <c r="Q244" s="157"/>
      <c r="U244" s="157"/>
      <c r="V244" s="67"/>
      <c r="Z244" s="157"/>
    </row>
    <row r="245">
      <c r="D245" s="157"/>
      <c r="E245" s="67"/>
      <c r="I245" s="157"/>
      <c r="M245" s="157"/>
      <c r="Q245" s="157"/>
      <c r="U245" s="157"/>
      <c r="V245" s="67"/>
      <c r="Z245" s="157"/>
    </row>
    <row r="246">
      <c r="D246" s="157"/>
      <c r="E246" s="67"/>
      <c r="I246" s="157"/>
      <c r="M246" s="157"/>
      <c r="Q246" s="157"/>
      <c r="U246" s="157"/>
      <c r="V246" s="67"/>
      <c r="Z246" s="157"/>
    </row>
    <row r="247">
      <c r="D247" s="157"/>
      <c r="E247" s="67"/>
      <c r="I247" s="157"/>
      <c r="M247" s="157"/>
      <c r="Q247" s="157"/>
      <c r="U247" s="157"/>
      <c r="V247" s="67"/>
      <c r="Z247" s="157"/>
    </row>
    <row r="248">
      <c r="D248" s="157"/>
      <c r="E248" s="67"/>
      <c r="I248" s="157"/>
      <c r="M248" s="157"/>
      <c r="Q248" s="157"/>
      <c r="U248" s="157"/>
      <c r="V248" s="67"/>
      <c r="Z248" s="157"/>
    </row>
    <row r="249">
      <c r="D249" s="157"/>
      <c r="E249" s="67"/>
      <c r="I249" s="157"/>
      <c r="M249" s="157"/>
      <c r="Q249" s="157"/>
      <c r="U249" s="157"/>
      <c r="V249" s="67"/>
      <c r="Z249" s="157"/>
    </row>
    <row r="250">
      <c r="D250" s="157"/>
      <c r="E250" s="67"/>
      <c r="I250" s="157"/>
      <c r="M250" s="157"/>
      <c r="Q250" s="157"/>
      <c r="U250" s="157"/>
      <c r="V250" s="67"/>
      <c r="Z250" s="157"/>
    </row>
    <row r="251">
      <c r="D251" s="157"/>
      <c r="E251" s="67"/>
      <c r="I251" s="157"/>
      <c r="M251" s="157"/>
      <c r="Q251" s="157"/>
      <c r="U251" s="157"/>
      <c r="V251" s="67"/>
      <c r="Z251" s="157"/>
    </row>
    <row r="252">
      <c r="D252" s="157"/>
      <c r="E252" s="67"/>
      <c r="I252" s="157"/>
      <c r="M252" s="157"/>
      <c r="Q252" s="157"/>
      <c r="U252" s="157"/>
      <c r="V252" s="67"/>
      <c r="Z252" s="157"/>
    </row>
    <row r="253">
      <c r="D253" s="157"/>
      <c r="E253" s="67"/>
      <c r="I253" s="157"/>
      <c r="M253" s="157"/>
      <c r="Q253" s="157"/>
      <c r="U253" s="157"/>
      <c r="V253" s="67"/>
      <c r="Z253" s="157"/>
    </row>
    <row r="254">
      <c r="D254" s="157"/>
      <c r="E254" s="67"/>
      <c r="I254" s="157"/>
      <c r="M254" s="157"/>
      <c r="Q254" s="157"/>
      <c r="U254" s="157"/>
      <c r="V254" s="67"/>
      <c r="Z254" s="157"/>
    </row>
    <row r="255">
      <c r="D255" s="157"/>
      <c r="E255" s="67"/>
      <c r="I255" s="157"/>
      <c r="M255" s="157"/>
      <c r="Q255" s="157"/>
      <c r="U255" s="157"/>
      <c r="V255" s="67"/>
      <c r="Z255" s="157"/>
    </row>
    <row r="256">
      <c r="D256" s="157"/>
      <c r="E256" s="67"/>
      <c r="I256" s="157"/>
      <c r="M256" s="157"/>
      <c r="Q256" s="157"/>
      <c r="U256" s="157"/>
      <c r="V256" s="67"/>
      <c r="Z256" s="157"/>
    </row>
    <row r="257">
      <c r="D257" s="157"/>
      <c r="E257" s="67"/>
      <c r="I257" s="157"/>
      <c r="M257" s="157"/>
      <c r="Q257" s="157"/>
      <c r="U257" s="157"/>
      <c r="V257" s="67"/>
      <c r="Z257" s="157"/>
    </row>
    <row r="258">
      <c r="D258" s="157"/>
      <c r="E258" s="67"/>
      <c r="I258" s="157"/>
      <c r="M258" s="157"/>
      <c r="Q258" s="157"/>
      <c r="U258" s="157"/>
      <c r="V258" s="67"/>
      <c r="Z258" s="157"/>
    </row>
    <row r="259">
      <c r="D259" s="157"/>
      <c r="E259" s="67"/>
      <c r="I259" s="157"/>
      <c r="M259" s="157"/>
      <c r="Q259" s="157"/>
      <c r="U259" s="157"/>
      <c r="V259" s="67"/>
      <c r="Z259" s="157"/>
    </row>
    <row r="260">
      <c r="D260" s="157"/>
      <c r="E260" s="67"/>
      <c r="I260" s="157"/>
      <c r="M260" s="157"/>
      <c r="Q260" s="157"/>
      <c r="U260" s="157"/>
      <c r="V260" s="67"/>
      <c r="Z260" s="157"/>
    </row>
    <row r="261">
      <c r="D261" s="157"/>
      <c r="E261" s="67"/>
      <c r="I261" s="157"/>
      <c r="M261" s="157"/>
      <c r="Q261" s="157"/>
      <c r="U261" s="157"/>
      <c r="V261" s="67"/>
      <c r="Z261" s="157"/>
    </row>
    <row r="262">
      <c r="D262" s="157"/>
      <c r="E262" s="67"/>
      <c r="I262" s="157"/>
      <c r="M262" s="157"/>
      <c r="Q262" s="157"/>
      <c r="U262" s="157"/>
      <c r="V262" s="67"/>
      <c r="Z262" s="157"/>
    </row>
    <row r="263">
      <c r="D263" s="157"/>
      <c r="E263" s="67"/>
      <c r="I263" s="157"/>
      <c r="M263" s="157"/>
      <c r="Q263" s="157"/>
      <c r="U263" s="157"/>
      <c r="V263" s="67"/>
      <c r="Z263" s="157"/>
    </row>
    <row r="264">
      <c r="D264" s="157"/>
      <c r="E264" s="67"/>
      <c r="I264" s="157"/>
      <c r="M264" s="157"/>
      <c r="Q264" s="157"/>
      <c r="U264" s="157"/>
      <c r="V264" s="67"/>
      <c r="Z264" s="157"/>
    </row>
    <row r="265">
      <c r="D265" s="157"/>
      <c r="E265" s="67"/>
      <c r="I265" s="157"/>
      <c r="M265" s="157"/>
      <c r="Q265" s="157"/>
      <c r="U265" s="157"/>
      <c r="V265" s="67"/>
      <c r="Z265" s="157"/>
    </row>
    <row r="266">
      <c r="D266" s="157"/>
      <c r="E266" s="67"/>
      <c r="I266" s="157"/>
      <c r="M266" s="157"/>
      <c r="Q266" s="157"/>
      <c r="U266" s="157"/>
      <c r="V266" s="67"/>
      <c r="Z266" s="157"/>
    </row>
    <row r="267">
      <c r="D267" s="157"/>
      <c r="E267" s="67"/>
      <c r="I267" s="157"/>
      <c r="M267" s="157"/>
      <c r="Q267" s="157"/>
      <c r="U267" s="157"/>
      <c r="V267" s="67"/>
      <c r="Z267" s="157"/>
    </row>
    <row r="268">
      <c r="D268" s="157"/>
      <c r="E268" s="67"/>
      <c r="I268" s="157"/>
      <c r="M268" s="157"/>
      <c r="Q268" s="157"/>
      <c r="U268" s="157"/>
      <c r="V268" s="67"/>
      <c r="Z268" s="157"/>
    </row>
    <row r="269">
      <c r="D269" s="157"/>
      <c r="E269" s="67"/>
      <c r="I269" s="157"/>
      <c r="M269" s="157"/>
      <c r="Q269" s="157"/>
      <c r="U269" s="157"/>
      <c r="V269" s="67"/>
      <c r="Z269" s="157"/>
    </row>
    <row r="270">
      <c r="D270" s="157"/>
      <c r="E270" s="67"/>
      <c r="I270" s="157"/>
      <c r="M270" s="157"/>
      <c r="Q270" s="157"/>
      <c r="U270" s="157"/>
      <c r="V270" s="67"/>
      <c r="Z270" s="157"/>
    </row>
    <row r="271">
      <c r="D271" s="157"/>
      <c r="E271" s="67"/>
      <c r="I271" s="157"/>
      <c r="M271" s="157"/>
      <c r="Q271" s="157"/>
      <c r="U271" s="157"/>
      <c r="V271" s="67"/>
      <c r="Z271" s="157"/>
    </row>
    <row r="272">
      <c r="D272" s="157"/>
      <c r="E272" s="67"/>
      <c r="I272" s="157"/>
      <c r="M272" s="157"/>
      <c r="Q272" s="157"/>
      <c r="U272" s="157"/>
      <c r="V272" s="67"/>
      <c r="Z272" s="157"/>
    </row>
    <row r="273">
      <c r="D273" s="157"/>
      <c r="E273" s="67"/>
      <c r="I273" s="157"/>
      <c r="M273" s="157"/>
      <c r="Q273" s="157"/>
      <c r="U273" s="157"/>
      <c r="V273" s="67"/>
      <c r="Z273" s="157"/>
    </row>
    <row r="274">
      <c r="D274" s="157"/>
      <c r="E274" s="67"/>
      <c r="I274" s="157"/>
      <c r="M274" s="157"/>
      <c r="Q274" s="157"/>
      <c r="U274" s="157"/>
      <c r="V274" s="67"/>
      <c r="Z274" s="157"/>
    </row>
    <row r="275">
      <c r="D275" s="157"/>
      <c r="E275" s="67"/>
      <c r="I275" s="157"/>
      <c r="M275" s="157"/>
      <c r="Q275" s="157"/>
      <c r="U275" s="157"/>
      <c r="V275" s="67"/>
      <c r="Z275" s="157"/>
    </row>
    <row r="276">
      <c r="D276" s="157"/>
      <c r="E276" s="67"/>
      <c r="I276" s="157"/>
      <c r="M276" s="157"/>
      <c r="Q276" s="157"/>
      <c r="U276" s="157"/>
      <c r="V276" s="67"/>
      <c r="Z276" s="157"/>
    </row>
    <row r="277">
      <c r="D277" s="157"/>
      <c r="E277" s="67"/>
      <c r="I277" s="157"/>
      <c r="M277" s="157"/>
      <c r="Q277" s="157"/>
      <c r="U277" s="157"/>
      <c r="V277" s="67"/>
      <c r="Z277" s="157"/>
    </row>
    <row r="278">
      <c r="D278" s="157"/>
      <c r="E278" s="67"/>
      <c r="I278" s="157"/>
      <c r="M278" s="157"/>
      <c r="Q278" s="157"/>
      <c r="U278" s="157"/>
      <c r="V278" s="67"/>
      <c r="Z278" s="157"/>
    </row>
    <row r="279">
      <c r="D279" s="157"/>
      <c r="E279" s="67"/>
      <c r="I279" s="157"/>
      <c r="M279" s="157"/>
      <c r="Q279" s="157"/>
      <c r="U279" s="157"/>
      <c r="V279" s="67"/>
      <c r="Z279" s="157"/>
    </row>
    <row r="280">
      <c r="D280" s="157"/>
      <c r="E280" s="67"/>
      <c r="I280" s="157"/>
      <c r="M280" s="157"/>
      <c r="Q280" s="157"/>
      <c r="U280" s="157"/>
      <c r="V280" s="67"/>
      <c r="Z280" s="157"/>
    </row>
    <row r="281">
      <c r="D281" s="157"/>
      <c r="E281" s="67"/>
      <c r="I281" s="157"/>
      <c r="M281" s="157"/>
      <c r="Q281" s="157"/>
      <c r="U281" s="157"/>
      <c r="V281" s="67"/>
      <c r="Z281" s="157"/>
    </row>
    <row r="282">
      <c r="D282" s="157"/>
      <c r="E282" s="67"/>
      <c r="I282" s="157"/>
      <c r="M282" s="157"/>
      <c r="Q282" s="157"/>
      <c r="U282" s="157"/>
      <c r="V282" s="67"/>
      <c r="Z282" s="157"/>
    </row>
    <row r="283">
      <c r="D283" s="157"/>
      <c r="E283" s="67"/>
      <c r="I283" s="157"/>
      <c r="M283" s="157"/>
      <c r="Q283" s="157"/>
      <c r="U283" s="157"/>
      <c r="V283" s="67"/>
      <c r="Z283" s="157"/>
    </row>
    <row r="284">
      <c r="D284" s="157"/>
      <c r="E284" s="67"/>
      <c r="I284" s="157"/>
      <c r="M284" s="157"/>
      <c r="Q284" s="157"/>
      <c r="U284" s="157"/>
      <c r="V284" s="67"/>
      <c r="Z284" s="157"/>
    </row>
    <row r="285">
      <c r="D285" s="157"/>
      <c r="E285" s="67"/>
      <c r="I285" s="157"/>
      <c r="M285" s="157"/>
      <c r="Q285" s="157"/>
      <c r="U285" s="157"/>
      <c r="V285" s="67"/>
      <c r="Z285" s="157"/>
    </row>
    <row r="286">
      <c r="D286" s="157"/>
      <c r="E286" s="67"/>
      <c r="I286" s="157"/>
      <c r="M286" s="157"/>
      <c r="Q286" s="157"/>
      <c r="U286" s="157"/>
      <c r="V286" s="67"/>
      <c r="Z286" s="157"/>
    </row>
    <row r="287">
      <c r="D287" s="157"/>
      <c r="E287" s="67"/>
      <c r="I287" s="157"/>
      <c r="M287" s="157"/>
      <c r="Q287" s="157"/>
      <c r="U287" s="157"/>
      <c r="V287" s="67"/>
      <c r="Z287" s="157"/>
    </row>
    <row r="288">
      <c r="D288" s="157"/>
      <c r="E288" s="67"/>
      <c r="I288" s="157"/>
      <c r="M288" s="157"/>
      <c r="Q288" s="157"/>
      <c r="U288" s="157"/>
      <c r="V288" s="67"/>
      <c r="Z288" s="157"/>
    </row>
    <row r="289">
      <c r="D289" s="157"/>
      <c r="E289" s="67"/>
      <c r="I289" s="157"/>
      <c r="M289" s="157"/>
      <c r="Q289" s="157"/>
      <c r="U289" s="157"/>
      <c r="V289" s="67"/>
      <c r="Z289" s="157"/>
    </row>
    <row r="290">
      <c r="D290" s="157"/>
      <c r="E290" s="67"/>
      <c r="I290" s="157"/>
      <c r="M290" s="157"/>
      <c r="Q290" s="157"/>
      <c r="U290" s="157"/>
      <c r="V290" s="67"/>
      <c r="Z290" s="157"/>
    </row>
    <row r="291">
      <c r="D291" s="157"/>
      <c r="E291" s="67"/>
      <c r="I291" s="157"/>
      <c r="M291" s="157"/>
      <c r="Q291" s="157"/>
      <c r="U291" s="157"/>
      <c r="V291" s="67"/>
      <c r="Z291" s="157"/>
    </row>
    <row r="292">
      <c r="D292" s="157"/>
      <c r="E292" s="67"/>
      <c r="I292" s="157"/>
      <c r="M292" s="157"/>
      <c r="Q292" s="157"/>
      <c r="U292" s="157"/>
      <c r="V292" s="67"/>
      <c r="Z292" s="157"/>
    </row>
    <row r="293">
      <c r="D293" s="157"/>
      <c r="E293" s="67"/>
      <c r="I293" s="157"/>
      <c r="M293" s="157"/>
      <c r="Q293" s="157"/>
      <c r="U293" s="157"/>
      <c r="V293" s="67"/>
      <c r="Z293" s="157"/>
    </row>
    <row r="294">
      <c r="D294" s="157"/>
      <c r="E294" s="67"/>
      <c r="I294" s="157"/>
      <c r="M294" s="157"/>
      <c r="Q294" s="157"/>
      <c r="U294" s="157"/>
      <c r="V294" s="67"/>
      <c r="Z294" s="157"/>
    </row>
    <row r="295">
      <c r="D295" s="157"/>
      <c r="E295" s="67"/>
      <c r="I295" s="157"/>
      <c r="M295" s="157"/>
      <c r="Q295" s="157"/>
      <c r="U295" s="157"/>
      <c r="V295" s="67"/>
      <c r="Z295" s="157"/>
    </row>
    <row r="296">
      <c r="D296" s="157"/>
      <c r="E296" s="67"/>
      <c r="I296" s="157"/>
      <c r="M296" s="157"/>
      <c r="Q296" s="157"/>
      <c r="U296" s="157"/>
      <c r="V296" s="67"/>
      <c r="Z296" s="157"/>
    </row>
    <row r="297">
      <c r="D297" s="157"/>
      <c r="E297" s="67"/>
      <c r="I297" s="157"/>
      <c r="M297" s="157"/>
      <c r="Q297" s="157"/>
      <c r="U297" s="157"/>
      <c r="V297" s="67"/>
      <c r="Z297" s="157"/>
    </row>
    <row r="298">
      <c r="D298" s="157"/>
      <c r="E298" s="67"/>
      <c r="I298" s="157"/>
      <c r="M298" s="157"/>
      <c r="Q298" s="157"/>
      <c r="U298" s="157"/>
      <c r="V298" s="67"/>
      <c r="Z298" s="157"/>
    </row>
    <row r="299">
      <c r="D299" s="157"/>
      <c r="E299" s="67"/>
      <c r="I299" s="157"/>
      <c r="M299" s="157"/>
      <c r="Q299" s="157"/>
      <c r="U299" s="157"/>
      <c r="V299" s="67"/>
      <c r="Z299" s="157"/>
    </row>
    <row r="300">
      <c r="D300" s="157"/>
      <c r="E300" s="67"/>
      <c r="I300" s="157"/>
      <c r="M300" s="157"/>
      <c r="Q300" s="157"/>
      <c r="U300" s="157"/>
      <c r="V300" s="67"/>
      <c r="Z300" s="157"/>
    </row>
    <row r="301">
      <c r="D301" s="157"/>
      <c r="E301" s="67"/>
      <c r="I301" s="157"/>
      <c r="M301" s="157"/>
      <c r="Q301" s="157"/>
      <c r="U301" s="157"/>
      <c r="V301" s="67"/>
      <c r="Z301" s="157"/>
    </row>
    <row r="302">
      <c r="D302" s="157"/>
      <c r="E302" s="67"/>
      <c r="I302" s="157"/>
      <c r="M302" s="157"/>
      <c r="Q302" s="157"/>
      <c r="U302" s="157"/>
      <c r="V302" s="67"/>
      <c r="Z302" s="157"/>
    </row>
    <row r="303">
      <c r="D303" s="157"/>
      <c r="E303" s="67"/>
      <c r="I303" s="157"/>
      <c r="M303" s="157"/>
      <c r="Q303" s="157"/>
      <c r="U303" s="157"/>
      <c r="V303" s="67"/>
      <c r="Z303" s="157"/>
    </row>
    <row r="304">
      <c r="D304" s="157"/>
      <c r="E304" s="67"/>
      <c r="I304" s="157"/>
      <c r="M304" s="157"/>
      <c r="Q304" s="157"/>
      <c r="U304" s="157"/>
      <c r="V304" s="67"/>
      <c r="Z304" s="157"/>
    </row>
    <row r="305">
      <c r="D305" s="157"/>
      <c r="E305" s="67"/>
      <c r="I305" s="157"/>
      <c r="M305" s="157"/>
      <c r="Q305" s="157"/>
      <c r="U305" s="157"/>
      <c r="V305" s="67"/>
      <c r="Z305" s="157"/>
    </row>
    <row r="306">
      <c r="D306" s="157"/>
      <c r="E306" s="67"/>
      <c r="I306" s="157"/>
      <c r="M306" s="157"/>
      <c r="Q306" s="157"/>
      <c r="U306" s="157"/>
      <c r="V306" s="67"/>
      <c r="Z306" s="157"/>
    </row>
    <row r="307">
      <c r="D307" s="157"/>
      <c r="E307" s="67"/>
      <c r="I307" s="157"/>
      <c r="M307" s="157"/>
      <c r="Q307" s="157"/>
      <c r="U307" s="157"/>
      <c r="V307" s="67"/>
      <c r="Z307" s="157"/>
    </row>
    <row r="308">
      <c r="D308" s="157"/>
      <c r="E308" s="67"/>
      <c r="I308" s="157"/>
      <c r="M308" s="157"/>
      <c r="Q308" s="157"/>
      <c r="U308" s="157"/>
      <c r="V308" s="67"/>
      <c r="Z308" s="157"/>
    </row>
    <row r="309">
      <c r="D309" s="157"/>
      <c r="E309" s="67"/>
      <c r="I309" s="157"/>
      <c r="M309" s="157"/>
      <c r="Q309" s="157"/>
      <c r="U309" s="157"/>
      <c r="V309" s="67"/>
      <c r="Z309" s="157"/>
    </row>
    <row r="310">
      <c r="D310" s="157"/>
      <c r="E310" s="67"/>
      <c r="I310" s="157"/>
      <c r="M310" s="157"/>
      <c r="Q310" s="157"/>
      <c r="U310" s="157"/>
      <c r="V310" s="67"/>
      <c r="Z310" s="157"/>
    </row>
    <row r="311">
      <c r="D311" s="157"/>
      <c r="E311" s="67"/>
      <c r="I311" s="157"/>
      <c r="M311" s="157"/>
      <c r="Q311" s="157"/>
      <c r="U311" s="157"/>
      <c r="V311" s="67"/>
      <c r="Z311" s="157"/>
    </row>
    <row r="312">
      <c r="D312" s="157"/>
      <c r="E312" s="67"/>
      <c r="I312" s="157"/>
      <c r="M312" s="157"/>
      <c r="Q312" s="157"/>
      <c r="U312" s="157"/>
      <c r="V312" s="67"/>
      <c r="Z312" s="157"/>
    </row>
    <row r="313">
      <c r="D313" s="157"/>
      <c r="E313" s="67"/>
      <c r="I313" s="157"/>
      <c r="M313" s="157"/>
      <c r="Q313" s="157"/>
      <c r="U313" s="157"/>
      <c r="V313" s="67"/>
      <c r="Z313" s="157"/>
    </row>
    <row r="314">
      <c r="D314" s="157"/>
      <c r="E314" s="67"/>
      <c r="I314" s="157"/>
      <c r="M314" s="157"/>
      <c r="Q314" s="157"/>
      <c r="U314" s="157"/>
      <c r="V314" s="67"/>
      <c r="Z314" s="157"/>
    </row>
    <row r="315">
      <c r="D315" s="157"/>
      <c r="E315" s="67"/>
      <c r="I315" s="157"/>
      <c r="M315" s="157"/>
      <c r="Q315" s="157"/>
      <c r="U315" s="157"/>
      <c r="V315" s="67"/>
      <c r="Z315" s="157"/>
    </row>
    <row r="316">
      <c r="D316" s="157"/>
      <c r="E316" s="67"/>
      <c r="I316" s="157"/>
      <c r="M316" s="157"/>
      <c r="Q316" s="157"/>
      <c r="U316" s="157"/>
      <c r="V316" s="67"/>
      <c r="Z316" s="157"/>
    </row>
    <row r="317">
      <c r="D317" s="157"/>
      <c r="E317" s="67"/>
      <c r="I317" s="157"/>
      <c r="M317" s="157"/>
      <c r="Q317" s="157"/>
      <c r="U317" s="157"/>
      <c r="V317" s="67"/>
      <c r="Z317" s="157"/>
    </row>
    <row r="318">
      <c r="D318" s="157"/>
      <c r="E318" s="67"/>
      <c r="I318" s="157"/>
      <c r="M318" s="157"/>
      <c r="Q318" s="157"/>
      <c r="U318" s="157"/>
      <c r="V318" s="67"/>
      <c r="Z318" s="157"/>
    </row>
    <row r="319">
      <c r="D319" s="157"/>
      <c r="E319" s="67"/>
      <c r="I319" s="157"/>
      <c r="M319" s="157"/>
      <c r="Q319" s="157"/>
      <c r="U319" s="157"/>
      <c r="V319" s="67"/>
      <c r="Z319" s="157"/>
    </row>
    <row r="320">
      <c r="D320" s="157"/>
      <c r="E320" s="67"/>
      <c r="I320" s="157"/>
      <c r="M320" s="157"/>
      <c r="Q320" s="157"/>
      <c r="U320" s="157"/>
      <c r="V320" s="67"/>
      <c r="Z320" s="157"/>
    </row>
    <row r="321">
      <c r="D321" s="157"/>
      <c r="E321" s="67"/>
      <c r="I321" s="157"/>
      <c r="M321" s="157"/>
      <c r="Q321" s="157"/>
      <c r="U321" s="157"/>
      <c r="V321" s="67"/>
      <c r="Z321" s="157"/>
    </row>
    <row r="322">
      <c r="D322" s="157"/>
      <c r="E322" s="67"/>
      <c r="I322" s="157"/>
      <c r="M322" s="157"/>
      <c r="Q322" s="157"/>
      <c r="U322" s="157"/>
      <c r="V322" s="67"/>
      <c r="Z322" s="157"/>
    </row>
    <row r="323">
      <c r="D323" s="157"/>
      <c r="E323" s="67"/>
      <c r="I323" s="157"/>
      <c r="M323" s="157"/>
      <c r="Q323" s="157"/>
      <c r="U323" s="157"/>
      <c r="V323" s="67"/>
      <c r="Z323" s="157"/>
    </row>
    <row r="324">
      <c r="D324" s="157"/>
      <c r="E324" s="67"/>
      <c r="I324" s="157"/>
      <c r="M324" s="157"/>
      <c r="Q324" s="157"/>
      <c r="U324" s="157"/>
      <c r="V324" s="67"/>
      <c r="Z324" s="157"/>
    </row>
    <row r="325">
      <c r="D325" s="157"/>
      <c r="E325" s="67"/>
      <c r="I325" s="157"/>
      <c r="M325" s="157"/>
      <c r="Q325" s="157"/>
      <c r="U325" s="157"/>
      <c r="V325" s="67"/>
      <c r="Z325" s="157"/>
    </row>
    <row r="326">
      <c r="D326" s="157"/>
      <c r="E326" s="67"/>
      <c r="I326" s="157"/>
      <c r="M326" s="157"/>
      <c r="Q326" s="157"/>
      <c r="U326" s="157"/>
      <c r="V326" s="67"/>
      <c r="Z326" s="157"/>
    </row>
    <row r="327">
      <c r="D327" s="157"/>
      <c r="E327" s="67"/>
      <c r="I327" s="157"/>
      <c r="M327" s="157"/>
      <c r="Q327" s="157"/>
      <c r="U327" s="157"/>
      <c r="V327" s="67"/>
      <c r="Z327" s="157"/>
    </row>
    <row r="328">
      <c r="D328" s="157"/>
      <c r="E328" s="67"/>
      <c r="I328" s="157"/>
      <c r="M328" s="157"/>
      <c r="Q328" s="157"/>
      <c r="U328" s="157"/>
      <c r="V328" s="67"/>
      <c r="Z328" s="157"/>
    </row>
    <row r="329">
      <c r="D329" s="157"/>
      <c r="E329" s="67"/>
      <c r="I329" s="157"/>
      <c r="M329" s="157"/>
      <c r="Q329" s="157"/>
      <c r="U329" s="157"/>
      <c r="V329" s="67"/>
      <c r="Z329" s="157"/>
    </row>
    <row r="330">
      <c r="D330" s="157"/>
      <c r="E330" s="67"/>
      <c r="I330" s="157"/>
      <c r="M330" s="157"/>
      <c r="Q330" s="157"/>
      <c r="U330" s="157"/>
      <c r="V330" s="67"/>
      <c r="Z330" s="157"/>
    </row>
    <row r="331">
      <c r="D331" s="157"/>
      <c r="E331" s="67"/>
      <c r="I331" s="157"/>
      <c r="M331" s="157"/>
      <c r="Q331" s="157"/>
      <c r="U331" s="157"/>
      <c r="V331" s="67"/>
      <c r="Z331" s="157"/>
    </row>
    <row r="332">
      <c r="D332" s="157"/>
      <c r="E332" s="67"/>
      <c r="I332" s="157"/>
      <c r="M332" s="157"/>
      <c r="Q332" s="157"/>
      <c r="U332" s="157"/>
      <c r="V332" s="67"/>
      <c r="Z332" s="157"/>
    </row>
    <row r="333">
      <c r="D333" s="157"/>
      <c r="E333" s="67"/>
      <c r="I333" s="157"/>
      <c r="M333" s="157"/>
      <c r="Q333" s="157"/>
      <c r="U333" s="157"/>
      <c r="V333" s="67"/>
      <c r="Z333" s="157"/>
    </row>
    <row r="334">
      <c r="D334" s="157"/>
      <c r="E334" s="67"/>
      <c r="I334" s="157"/>
      <c r="M334" s="157"/>
      <c r="Q334" s="157"/>
      <c r="U334" s="157"/>
      <c r="V334" s="67"/>
      <c r="Z334" s="157"/>
    </row>
    <row r="335">
      <c r="D335" s="157"/>
      <c r="E335" s="67"/>
      <c r="I335" s="157"/>
      <c r="M335" s="157"/>
      <c r="Q335" s="157"/>
      <c r="U335" s="157"/>
      <c r="V335" s="67"/>
      <c r="Z335" s="157"/>
    </row>
    <row r="336">
      <c r="D336" s="157"/>
      <c r="E336" s="67"/>
      <c r="I336" s="157"/>
      <c r="M336" s="157"/>
      <c r="Q336" s="157"/>
      <c r="U336" s="157"/>
      <c r="V336" s="67"/>
      <c r="Z336" s="157"/>
    </row>
    <row r="337">
      <c r="D337" s="157"/>
      <c r="E337" s="67"/>
      <c r="I337" s="157"/>
      <c r="M337" s="157"/>
      <c r="Q337" s="157"/>
      <c r="U337" s="157"/>
      <c r="V337" s="67"/>
      <c r="Z337" s="157"/>
    </row>
    <row r="338">
      <c r="D338" s="157"/>
      <c r="E338" s="67"/>
      <c r="I338" s="157"/>
      <c r="M338" s="157"/>
      <c r="Q338" s="157"/>
      <c r="U338" s="157"/>
      <c r="V338" s="67"/>
      <c r="Z338" s="157"/>
    </row>
    <row r="339">
      <c r="D339" s="157"/>
      <c r="E339" s="67"/>
      <c r="I339" s="157"/>
      <c r="M339" s="157"/>
      <c r="Q339" s="157"/>
      <c r="U339" s="157"/>
      <c r="V339" s="67"/>
      <c r="Z339" s="157"/>
    </row>
    <row r="340">
      <c r="D340" s="157"/>
      <c r="E340" s="67"/>
      <c r="I340" s="157"/>
      <c r="M340" s="157"/>
      <c r="Q340" s="157"/>
      <c r="U340" s="157"/>
      <c r="V340" s="67"/>
      <c r="Z340" s="157"/>
    </row>
    <row r="341">
      <c r="D341" s="157"/>
      <c r="E341" s="67"/>
      <c r="I341" s="157"/>
      <c r="M341" s="157"/>
      <c r="Q341" s="157"/>
      <c r="U341" s="157"/>
      <c r="V341" s="67"/>
      <c r="Z341" s="157"/>
    </row>
    <row r="342">
      <c r="D342" s="157"/>
      <c r="E342" s="67"/>
      <c r="I342" s="157"/>
      <c r="M342" s="157"/>
      <c r="Q342" s="157"/>
      <c r="U342" s="157"/>
      <c r="V342" s="67"/>
      <c r="Z342" s="157"/>
    </row>
    <row r="343">
      <c r="D343" s="157"/>
      <c r="E343" s="67"/>
      <c r="I343" s="157"/>
      <c r="M343" s="157"/>
      <c r="Q343" s="157"/>
      <c r="U343" s="157"/>
      <c r="V343" s="67"/>
      <c r="Z343" s="157"/>
    </row>
    <row r="344">
      <c r="D344" s="157"/>
      <c r="E344" s="67"/>
      <c r="I344" s="157"/>
      <c r="M344" s="157"/>
      <c r="Q344" s="157"/>
      <c r="U344" s="157"/>
      <c r="V344" s="67"/>
      <c r="Z344" s="157"/>
    </row>
    <row r="345">
      <c r="D345" s="157"/>
      <c r="E345" s="67"/>
      <c r="I345" s="157"/>
      <c r="M345" s="157"/>
      <c r="Q345" s="157"/>
      <c r="U345" s="157"/>
      <c r="V345" s="67"/>
      <c r="Z345" s="157"/>
    </row>
    <row r="346">
      <c r="D346" s="157"/>
      <c r="E346" s="67"/>
      <c r="I346" s="157"/>
      <c r="M346" s="157"/>
      <c r="Q346" s="157"/>
      <c r="U346" s="157"/>
      <c r="V346" s="67"/>
      <c r="Z346" s="157"/>
    </row>
    <row r="347">
      <c r="D347" s="157"/>
      <c r="E347" s="67"/>
      <c r="I347" s="157"/>
      <c r="M347" s="157"/>
      <c r="Q347" s="157"/>
      <c r="U347" s="157"/>
      <c r="V347" s="67"/>
      <c r="Z347" s="157"/>
    </row>
    <row r="348">
      <c r="D348" s="157"/>
      <c r="E348" s="67"/>
      <c r="I348" s="157"/>
      <c r="M348" s="157"/>
      <c r="Q348" s="157"/>
      <c r="U348" s="157"/>
      <c r="V348" s="67"/>
      <c r="Z348" s="157"/>
    </row>
    <row r="349">
      <c r="D349" s="157"/>
      <c r="E349" s="67"/>
      <c r="I349" s="157"/>
      <c r="M349" s="157"/>
      <c r="Q349" s="157"/>
      <c r="U349" s="157"/>
      <c r="V349" s="67"/>
      <c r="Z349" s="157"/>
    </row>
    <row r="350">
      <c r="D350" s="157"/>
      <c r="E350" s="67"/>
      <c r="I350" s="157"/>
      <c r="M350" s="157"/>
      <c r="Q350" s="157"/>
      <c r="U350" s="157"/>
      <c r="V350" s="67"/>
      <c r="Z350" s="157"/>
    </row>
    <row r="351">
      <c r="D351" s="157"/>
      <c r="E351" s="67"/>
      <c r="I351" s="157"/>
      <c r="M351" s="157"/>
      <c r="Q351" s="157"/>
      <c r="U351" s="157"/>
      <c r="V351" s="67"/>
      <c r="Z351" s="157"/>
    </row>
    <row r="352">
      <c r="D352" s="157"/>
      <c r="E352" s="67"/>
      <c r="I352" s="157"/>
      <c r="M352" s="157"/>
      <c r="Q352" s="157"/>
      <c r="U352" s="157"/>
      <c r="V352" s="67"/>
      <c r="Z352" s="157"/>
    </row>
    <row r="353">
      <c r="D353" s="157"/>
      <c r="E353" s="67"/>
      <c r="I353" s="157"/>
      <c r="M353" s="157"/>
      <c r="Q353" s="157"/>
      <c r="U353" s="157"/>
      <c r="V353" s="67"/>
      <c r="Z353" s="157"/>
    </row>
    <row r="354">
      <c r="D354" s="157"/>
      <c r="E354" s="67"/>
      <c r="I354" s="157"/>
      <c r="M354" s="157"/>
      <c r="Q354" s="157"/>
      <c r="U354" s="157"/>
      <c r="V354" s="67"/>
      <c r="Z354" s="157"/>
    </row>
    <row r="355">
      <c r="D355" s="157"/>
      <c r="E355" s="67"/>
      <c r="I355" s="157"/>
      <c r="M355" s="157"/>
      <c r="Q355" s="157"/>
      <c r="U355" s="157"/>
      <c r="V355" s="67"/>
      <c r="Z355" s="157"/>
    </row>
    <row r="356">
      <c r="D356" s="157"/>
      <c r="E356" s="67"/>
      <c r="I356" s="157"/>
      <c r="M356" s="157"/>
      <c r="Q356" s="157"/>
      <c r="U356" s="157"/>
      <c r="V356" s="67"/>
      <c r="Z356" s="157"/>
    </row>
    <row r="357">
      <c r="D357" s="157"/>
      <c r="E357" s="67"/>
      <c r="I357" s="157"/>
      <c r="M357" s="157"/>
      <c r="Q357" s="157"/>
      <c r="U357" s="157"/>
      <c r="V357" s="67"/>
      <c r="Z357" s="157"/>
    </row>
    <row r="358">
      <c r="D358" s="157"/>
      <c r="E358" s="67"/>
      <c r="I358" s="157"/>
      <c r="M358" s="157"/>
      <c r="Q358" s="157"/>
      <c r="U358" s="157"/>
      <c r="V358" s="67"/>
      <c r="Z358" s="157"/>
    </row>
    <row r="359">
      <c r="D359" s="157"/>
      <c r="E359" s="67"/>
      <c r="I359" s="157"/>
      <c r="M359" s="157"/>
      <c r="Q359" s="157"/>
      <c r="U359" s="157"/>
      <c r="V359" s="67"/>
      <c r="Z359" s="157"/>
    </row>
    <row r="360">
      <c r="D360" s="157"/>
      <c r="E360" s="67"/>
      <c r="I360" s="157"/>
      <c r="M360" s="157"/>
      <c r="Q360" s="157"/>
      <c r="U360" s="157"/>
      <c r="V360" s="67"/>
      <c r="Z360" s="157"/>
    </row>
    <row r="361">
      <c r="D361" s="157"/>
      <c r="E361" s="67"/>
      <c r="I361" s="157"/>
      <c r="M361" s="157"/>
      <c r="Q361" s="157"/>
      <c r="U361" s="157"/>
      <c r="V361" s="67"/>
      <c r="Z361" s="157"/>
    </row>
    <row r="362">
      <c r="D362" s="157"/>
      <c r="E362" s="67"/>
      <c r="I362" s="157"/>
      <c r="M362" s="157"/>
      <c r="Q362" s="157"/>
      <c r="U362" s="157"/>
      <c r="V362" s="67"/>
      <c r="Z362" s="157"/>
    </row>
    <row r="363">
      <c r="D363" s="157"/>
      <c r="E363" s="67"/>
      <c r="I363" s="157"/>
      <c r="M363" s="157"/>
      <c r="Q363" s="157"/>
      <c r="U363" s="157"/>
      <c r="V363" s="67"/>
      <c r="Z363" s="157"/>
    </row>
    <row r="364">
      <c r="D364" s="157"/>
      <c r="E364" s="67"/>
      <c r="I364" s="157"/>
      <c r="M364" s="157"/>
      <c r="Q364" s="157"/>
      <c r="U364" s="157"/>
      <c r="V364" s="67"/>
      <c r="Z364" s="157"/>
    </row>
    <row r="365">
      <c r="D365" s="157"/>
      <c r="E365" s="67"/>
      <c r="I365" s="157"/>
      <c r="M365" s="157"/>
      <c r="Q365" s="157"/>
      <c r="U365" s="157"/>
      <c r="V365" s="67"/>
      <c r="Z365" s="157"/>
    </row>
    <row r="366">
      <c r="D366" s="157"/>
      <c r="E366" s="67"/>
      <c r="I366" s="157"/>
      <c r="M366" s="157"/>
      <c r="Q366" s="157"/>
      <c r="U366" s="157"/>
      <c r="V366" s="67"/>
      <c r="Z366" s="157"/>
    </row>
    <row r="367">
      <c r="D367" s="157"/>
      <c r="E367" s="67"/>
      <c r="I367" s="157"/>
      <c r="M367" s="157"/>
      <c r="Q367" s="157"/>
      <c r="U367" s="157"/>
      <c r="V367" s="67"/>
      <c r="Z367" s="157"/>
    </row>
    <row r="368">
      <c r="D368" s="157"/>
      <c r="E368" s="67"/>
      <c r="I368" s="157"/>
      <c r="M368" s="157"/>
      <c r="Q368" s="157"/>
      <c r="U368" s="157"/>
      <c r="V368" s="67"/>
      <c r="Z368" s="157"/>
    </row>
    <row r="369">
      <c r="D369" s="157"/>
      <c r="E369" s="67"/>
      <c r="I369" s="157"/>
      <c r="M369" s="157"/>
      <c r="Q369" s="157"/>
      <c r="U369" s="157"/>
      <c r="V369" s="67"/>
      <c r="Z369" s="157"/>
    </row>
    <row r="370">
      <c r="D370" s="157"/>
      <c r="E370" s="67"/>
      <c r="I370" s="157"/>
      <c r="M370" s="157"/>
      <c r="Q370" s="157"/>
      <c r="U370" s="157"/>
      <c r="V370" s="67"/>
      <c r="Z370" s="157"/>
    </row>
    <row r="371">
      <c r="D371" s="157"/>
      <c r="E371" s="67"/>
      <c r="I371" s="157"/>
      <c r="M371" s="157"/>
      <c r="Q371" s="157"/>
      <c r="U371" s="157"/>
      <c r="V371" s="67"/>
      <c r="Z371" s="157"/>
    </row>
    <row r="372">
      <c r="D372" s="157"/>
      <c r="E372" s="67"/>
      <c r="I372" s="157"/>
      <c r="M372" s="157"/>
      <c r="Q372" s="157"/>
      <c r="U372" s="157"/>
      <c r="V372" s="67"/>
      <c r="Z372" s="157"/>
    </row>
    <row r="373">
      <c r="D373" s="157"/>
      <c r="E373" s="67"/>
      <c r="I373" s="157"/>
      <c r="M373" s="157"/>
      <c r="Q373" s="157"/>
      <c r="U373" s="157"/>
      <c r="V373" s="67"/>
      <c r="Z373" s="157"/>
    </row>
    <row r="374">
      <c r="D374" s="157"/>
      <c r="E374" s="67"/>
      <c r="I374" s="157"/>
      <c r="M374" s="157"/>
      <c r="Q374" s="157"/>
      <c r="U374" s="157"/>
      <c r="V374" s="67"/>
      <c r="Z374" s="157"/>
    </row>
    <row r="375">
      <c r="D375" s="157"/>
      <c r="E375" s="67"/>
      <c r="I375" s="157"/>
      <c r="M375" s="157"/>
      <c r="Q375" s="157"/>
      <c r="U375" s="157"/>
      <c r="V375" s="67"/>
      <c r="Z375" s="157"/>
    </row>
    <row r="376">
      <c r="D376" s="157"/>
      <c r="E376" s="67"/>
      <c r="I376" s="157"/>
      <c r="M376" s="157"/>
      <c r="Q376" s="157"/>
      <c r="U376" s="157"/>
      <c r="V376" s="67"/>
      <c r="Z376" s="157"/>
    </row>
    <row r="377">
      <c r="D377" s="157"/>
      <c r="E377" s="67"/>
      <c r="I377" s="157"/>
      <c r="M377" s="157"/>
      <c r="Q377" s="157"/>
      <c r="U377" s="157"/>
      <c r="V377" s="67"/>
      <c r="Z377" s="157"/>
    </row>
    <row r="378">
      <c r="D378" s="157"/>
      <c r="E378" s="67"/>
      <c r="I378" s="157"/>
      <c r="M378" s="157"/>
      <c r="Q378" s="157"/>
      <c r="U378" s="157"/>
      <c r="V378" s="67"/>
      <c r="Z378" s="157"/>
    </row>
    <row r="379">
      <c r="D379" s="157"/>
      <c r="E379" s="67"/>
      <c r="I379" s="157"/>
      <c r="M379" s="157"/>
      <c r="Q379" s="157"/>
      <c r="U379" s="157"/>
      <c r="V379" s="67"/>
      <c r="Z379" s="157"/>
    </row>
    <row r="380">
      <c r="D380" s="157"/>
      <c r="E380" s="67"/>
      <c r="I380" s="157"/>
      <c r="M380" s="157"/>
      <c r="Q380" s="157"/>
      <c r="U380" s="157"/>
      <c r="V380" s="67"/>
      <c r="Z380" s="157"/>
    </row>
    <row r="381">
      <c r="D381" s="157"/>
      <c r="E381" s="67"/>
      <c r="I381" s="157"/>
      <c r="M381" s="157"/>
      <c r="Q381" s="157"/>
      <c r="U381" s="157"/>
      <c r="V381" s="67"/>
      <c r="Z381" s="157"/>
    </row>
    <row r="382">
      <c r="D382" s="157"/>
      <c r="E382" s="67"/>
      <c r="I382" s="157"/>
      <c r="M382" s="157"/>
      <c r="Q382" s="157"/>
      <c r="U382" s="157"/>
      <c r="V382" s="67"/>
      <c r="Z382" s="157"/>
    </row>
    <row r="383">
      <c r="D383" s="157"/>
      <c r="E383" s="67"/>
      <c r="I383" s="157"/>
      <c r="M383" s="157"/>
      <c r="Q383" s="157"/>
      <c r="U383" s="157"/>
      <c r="V383" s="67"/>
      <c r="Z383" s="157"/>
    </row>
    <row r="384">
      <c r="D384" s="157"/>
      <c r="E384" s="67"/>
      <c r="I384" s="157"/>
      <c r="M384" s="157"/>
      <c r="Q384" s="157"/>
      <c r="U384" s="157"/>
      <c r="V384" s="67"/>
      <c r="Z384" s="157"/>
    </row>
    <row r="385">
      <c r="D385" s="157"/>
      <c r="E385" s="67"/>
      <c r="I385" s="157"/>
      <c r="M385" s="157"/>
      <c r="Q385" s="157"/>
      <c r="U385" s="157"/>
      <c r="V385" s="67"/>
      <c r="Z385" s="157"/>
    </row>
    <row r="386">
      <c r="D386" s="157"/>
      <c r="E386" s="67"/>
      <c r="I386" s="157"/>
      <c r="M386" s="157"/>
      <c r="Q386" s="157"/>
      <c r="U386" s="157"/>
      <c r="V386" s="67"/>
      <c r="Z386" s="157"/>
    </row>
    <row r="387">
      <c r="D387" s="157"/>
      <c r="E387" s="67"/>
      <c r="I387" s="157"/>
      <c r="M387" s="157"/>
      <c r="Q387" s="157"/>
      <c r="U387" s="157"/>
      <c r="V387" s="67"/>
      <c r="Z387" s="157"/>
    </row>
    <row r="388">
      <c r="D388" s="157"/>
      <c r="E388" s="67"/>
      <c r="I388" s="157"/>
      <c r="M388" s="157"/>
      <c r="Q388" s="157"/>
      <c r="U388" s="157"/>
      <c r="V388" s="67"/>
      <c r="Z388" s="157"/>
    </row>
    <row r="389">
      <c r="D389" s="157"/>
      <c r="E389" s="67"/>
      <c r="I389" s="157"/>
      <c r="M389" s="157"/>
      <c r="Q389" s="157"/>
      <c r="U389" s="157"/>
      <c r="V389" s="67"/>
      <c r="Z389" s="157"/>
    </row>
    <row r="390">
      <c r="D390" s="157"/>
      <c r="E390" s="67"/>
      <c r="I390" s="157"/>
      <c r="M390" s="157"/>
      <c r="Q390" s="157"/>
      <c r="U390" s="157"/>
      <c r="V390" s="67"/>
      <c r="Z390" s="157"/>
    </row>
    <row r="391">
      <c r="D391" s="157"/>
      <c r="E391" s="67"/>
      <c r="I391" s="157"/>
      <c r="M391" s="157"/>
      <c r="Q391" s="157"/>
      <c r="U391" s="157"/>
      <c r="V391" s="67"/>
      <c r="Z391" s="157"/>
    </row>
    <row r="392">
      <c r="D392" s="157"/>
      <c r="E392" s="67"/>
      <c r="I392" s="157"/>
      <c r="M392" s="157"/>
      <c r="Q392" s="157"/>
      <c r="U392" s="157"/>
      <c r="V392" s="67"/>
      <c r="Z392" s="157"/>
    </row>
    <row r="393">
      <c r="D393" s="157"/>
      <c r="E393" s="67"/>
      <c r="I393" s="157"/>
      <c r="M393" s="157"/>
      <c r="Q393" s="157"/>
      <c r="U393" s="157"/>
      <c r="V393" s="67"/>
      <c r="Z393" s="157"/>
    </row>
    <row r="394">
      <c r="D394" s="157"/>
      <c r="E394" s="67"/>
      <c r="I394" s="157"/>
      <c r="M394" s="157"/>
      <c r="Q394" s="157"/>
      <c r="U394" s="157"/>
      <c r="V394" s="67"/>
      <c r="Z394" s="157"/>
    </row>
    <row r="395">
      <c r="D395" s="157"/>
      <c r="E395" s="67"/>
      <c r="I395" s="157"/>
      <c r="M395" s="157"/>
      <c r="Q395" s="157"/>
      <c r="U395" s="157"/>
      <c r="V395" s="67"/>
      <c r="Z395" s="157"/>
    </row>
    <row r="396">
      <c r="D396" s="157"/>
      <c r="E396" s="67"/>
      <c r="I396" s="157"/>
      <c r="M396" s="157"/>
      <c r="Q396" s="157"/>
      <c r="U396" s="157"/>
      <c r="V396" s="67"/>
      <c r="Z396" s="157"/>
    </row>
    <row r="397">
      <c r="D397" s="157"/>
      <c r="E397" s="67"/>
      <c r="I397" s="157"/>
      <c r="M397" s="157"/>
      <c r="Q397" s="157"/>
      <c r="U397" s="157"/>
      <c r="V397" s="67"/>
      <c r="Z397" s="157"/>
    </row>
    <row r="398">
      <c r="D398" s="157"/>
      <c r="E398" s="67"/>
      <c r="I398" s="157"/>
      <c r="M398" s="157"/>
      <c r="Q398" s="157"/>
      <c r="U398" s="157"/>
      <c r="V398" s="67"/>
      <c r="Z398" s="157"/>
    </row>
    <row r="399">
      <c r="D399" s="157"/>
      <c r="E399" s="67"/>
      <c r="I399" s="157"/>
      <c r="M399" s="157"/>
      <c r="Q399" s="157"/>
      <c r="U399" s="157"/>
      <c r="V399" s="67"/>
      <c r="Z399" s="157"/>
    </row>
    <row r="400">
      <c r="D400" s="157"/>
      <c r="E400" s="67"/>
      <c r="I400" s="157"/>
      <c r="M400" s="157"/>
      <c r="Q400" s="157"/>
      <c r="U400" s="157"/>
      <c r="V400" s="67"/>
      <c r="Z400" s="157"/>
    </row>
    <row r="401">
      <c r="D401" s="157"/>
      <c r="E401" s="67"/>
      <c r="I401" s="157"/>
      <c r="M401" s="157"/>
      <c r="Q401" s="157"/>
      <c r="U401" s="157"/>
      <c r="V401" s="67"/>
      <c r="Z401" s="157"/>
    </row>
    <row r="402">
      <c r="D402" s="157"/>
      <c r="E402" s="67"/>
      <c r="I402" s="157"/>
      <c r="M402" s="157"/>
      <c r="Q402" s="157"/>
      <c r="U402" s="157"/>
      <c r="V402" s="67"/>
      <c r="Z402" s="157"/>
    </row>
    <row r="403">
      <c r="D403" s="157"/>
      <c r="E403" s="67"/>
      <c r="I403" s="157"/>
      <c r="M403" s="157"/>
      <c r="Q403" s="157"/>
      <c r="U403" s="157"/>
      <c r="V403" s="67"/>
      <c r="Z403" s="157"/>
    </row>
    <row r="404">
      <c r="D404" s="157"/>
      <c r="E404" s="67"/>
      <c r="I404" s="157"/>
      <c r="M404" s="157"/>
      <c r="Q404" s="157"/>
      <c r="U404" s="157"/>
      <c r="V404" s="67"/>
      <c r="Z404" s="157"/>
    </row>
    <row r="405">
      <c r="D405" s="157"/>
      <c r="E405" s="67"/>
      <c r="I405" s="157"/>
      <c r="M405" s="157"/>
      <c r="Q405" s="157"/>
      <c r="U405" s="157"/>
      <c r="V405" s="67"/>
      <c r="Z405" s="157"/>
    </row>
    <row r="406">
      <c r="D406" s="157"/>
      <c r="E406" s="67"/>
      <c r="I406" s="157"/>
      <c r="M406" s="157"/>
      <c r="Q406" s="157"/>
      <c r="U406" s="157"/>
      <c r="V406" s="67"/>
      <c r="Z406" s="157"/>
    </row>
    <row r="407">
      <c r="D407" s="157"/>
      <c r="E407" s="67"/>
      <c r="I407" s="157"/>
      <c r="M407" s="157"/>
      <c r="Q407" s="157"/>
      <c r="U407" s="157"/>
      <c r="V407" s="67"/>
      <c r="Z407" s="157"/>
    </row>
    <row r="408">
      <c r="D408" s="157"/>
      <c r="E408" s="67"/>
      <c r="I408" s="157"/>
      <c r="M408" s="157"/>
      <c r="Q408" s="157"/>
      <c r="U408" s="157"/>
      <c r="V408" s="67"/>
      <c r="Z408" s="157"/>
    </row>
    <row r="409">
      <c r="D409" s="157"/>
      <c r="E409" s="67"/>
      <c r="I409" s="157"/>
      <c r="M409" s="157"/>
      <c r="Q409" s="157"/>
      <c r="U409" s="157"/>
      <c r="V409" s="67"/>
      <c r="Z409" s="157"/>
    </row>
    <row r="410">
      <c r="D410" s="157"/>
      <c r="E410" s="67"/>
      <c r="I410" s="157"/>
      <c r="M410" s="157"/>
      <c r="Q410" s="157"/>
      <c r="U410" s="157"/>
      <c r="V410" s="67"/>
      <c r="Z410" s="157"/>
    </row>
    <row r="411">
      <c r="D411" s="157"/>
      <c r="E411" s="67"/>
      <c r="I411" s="157"/>
      <c r="M411" s="157"/>
      <c r="Q411" s="157"/>
      <c r="U411" s="157"/>
      <c r="V411" s="67"/>
      <c r="Z411" s="157"/>
    </row>
    <row r="412">
      <c r="D412" s="157"/>
      <c r="E412" s="67"/>
      <c r="I412" s="157"/>
      <c r="M412" s="157"/>
      <c r="Q412" s="157"/>
      <c r="U412" s="157"/>
      <c r="V412" s="67"/>
      <c r="Z412" s="157"/>
    </row>
    <row r="413">
      <c r="D413" s="157"/>
      <c r="E413" s="67"/>
      <c r="I413" s="157"/>
      <c r="M413" s="157"/>
      <c r="Q413" s="157"/>
      <c r="U413" s="157"/>
      <c r="V413" s="67"/>
      <c r="Z413" s="157"/>
    </row>
    <row r="414">
      <c r="D414" s="157"/>
      <c r="E414" s="67"/>
      <c r="I414" s="157"/>
      <c r="M414" s="157"/>
      <c r="Q414" s="157"/>
      <c r="U414" s="157"/>
      <c r="V414" s="67"/>
      <c r="Z414" s="157"/>
    </row>
    <row r="415">
      <c r="D415" s="157"/>
      <c r="E415" s="67"/>
      <c r="I415" s="157"/>
      <c r="M415" s="157"/>
      <c r="Q415" s="157"/>
      <c r="U415" s="157"/>
      <c r="V415" s="67"/>
      <c r="Z415" s="157"/>
    </row>
    <row r="416">
      <c r="D416" s="157"/>
      <c r="E416" s="67"/>
      <c r="I416" s="157"/>
      <c r="M416" s="157"/>
      <c r="Q416" s="157"/>
      <c r="U416" s="157"/>
      <c r="V416" s="67"/>
      <c r="Z416" s="157"/>
    </row>
    <row r="417">
      <c r="D417" s="157"/>
      <c r="E417" s="67"/>
      <c r="I417" s="157"/>
      <c r="M417" s="157"/>
      <c r="Q417" s="157"/>
      <c r="U417" s="157"/>
      <c r="V417" s="67"/>
      <c r="Z417" s="157"/>
    </row>
    <row r="418">
      <c r="D418" s="157"/>
      <c r="E418" s="67"/>
      <c r="I418" s="157"/>
      <c r="M418" s="157"/>
      <c r="Q418" s="157"/>
      <c r="U418" s="157"/>
      <c r="V418" s="67"/>
      <c r="Z418" s="157"/>
    </row>
    <row r="419">
      <c r="D419" s="157"/>
      <c r="E419" s="67"/>
      <c r="I419" s="157"/>
      <c r="M419" s="157"/>
      <c r="Q419" s="157"/>
      <c r="U419" s="157"/>
      <c r="V419" s="67"/>
      <c r="Z419" s="157"/>
    </row>
    <row r="420">
      <c r="D420" s="157"/>
      <c r="E420" s="67"/>
      <c r="I420" s="157"/>
      <c r="M420" s="157"/>
      <c r="Q420" s="157"/>
      <c r="U420" s="157"/>
      <c r="V420" s="67"/>
      <c r="Z420" s="157"/>
    </row>
    <row r="421">
      <c r="D421" s="157"/>
      <c r="E421" s="67"/>
      <c r="I421" s="157"/>
      <c r="M421" s="157"/>
      <c r="Q421" s="157"/>
      <c r="U421" s="157"/>
      <c r="V421" s="67"/>
      <c r="Z421" s="157"/>
    </row>
    <row r="422">
      <c r="D422" s="157"/>
      <c r="E422" s="67"/>
      <c r="I422" s="157"/>
      <c r="M422" s="157"/>
      <c r="Q422" s="157"/>
      <c r="U422" s="157"/>
      <c r="V422" s="67"/>
      <c r="Z422" s="157"/>
    </row>
    <row r="423">
      <c r="D423" s="157"/>
      <c r="E423" s="67"/>
      <c r="I423" s="157"/>
      <c r="M423" s="157"/>
      <c r="Q423" s="157"/>
      <c r="U423" s="157"/>
      <c r="V423" s="67"/>
      <c r="Z423" s="157"/>
    </row>
    <row r="424">
      <c r="D424" s="157"/>
      <c r="E424" s="67"/>
      <c r="I424" s="157"/>
      <c r="M424" s="157"/>
      <c r="Q424" s="157"/>
      <c r="U424" s="157"/>
      <c r="V424" s="67"/>
      <c r="Z424" s="157"/>
    </row>
    <row r="425">
      <c r="D425" s="157"/>
      <c r="E425" s="67"/>
      <c r="I425" s="157"/>
      <c r="M425" s="157"/>
      <c r="Q425" s="157"/>
      <c r="U425" s="157"/>
      <c r="V425" s="67"/>
      <c r="Z425" s="157"/>
    </row>
    <row r="426">
      <c r="D426" s="157"/>
      <c r="E426" s="67"/>
      <c r="I426" s="157"/>
      <c r="M426" s="157"/>
      <c r="Q426" s="157"/>
      <c r="U426" s="157"/>
      <c r="V426" s="67"/>
      <c r="Z426" s="157"/>
    </row>
    <row r="427">
      <c r="D427" s="157"/>
      <c r="E427" s="67"/>
      <c r="I427" s="157"/>
      <c r="M427" s="157"/>
      <c r="Q427" s="157"/>
      <c r="U427" s="157"/>
      <c r="V427" s="67"/>
      <c r="Z427" s="157"/>
    </row>
    <row r="428">
      <c r="D428" s="157"/>
      <c r="E428" s="67"/>
      <c r="I428" s="157"/>
      <c r="M428" s="157"/>
      <c r="Q428" s="157"/>
      <c r="U428" s="157"/>
      <c r="V428" s="67"/>
      <c r="Z428" s="157"/>
    </row>
    <row r="429">
      <c r="D429" s="157"/>
      <c r="E429" s="67"/>
      <c r="I429" s="157"/>
      <c r="M429" s="157"/>
      <c r="Q429" s="157"/>
      <c r="U429" s="157"/>
      <c r="V429" s="67"/>
      <c r="Z429" s="157"/>
    </row>
    <row r="430">
      <c r="D430" s="157"/>
      <c r="E430" s="67"/>
      <c r="I430" s="157"/>
      <c r="M430" s="157"/>
      <c r="Q430" s="157"/>
      <c r="U430" s="157"/>
      <c r="V430" s="67"/>
      <c r="Z430" s="157"/>
    </row>
    <row r="431">
      <c r="D431" s="157"/>
      <c r="E431" s="67"/>
      <c r="I431" s="157"/>
      <c r="M431" s="157"/>
      <c r="Q431" s="157"/>
      <c r="U431" s="157"/>
      <c r="V431" s="67"/>
      <c r="Z431" s="157"/>
    </row>
    <row r="432">
      <c r="D432" s="157"/>
      <c r="E432" s="67"/>
      <c r="I432" s="157"/>
      <c r="M432" s="157"/>
      <c r="Q432" s="157"/>
      <c r="U432" s="157"/>
      <c r="V432" s="67"/>
      <c r="Z432" s="157"/>
    </row>
    <row r="433">
      <c r="D433" s="157"/>
      <c r="E433" s="67"/>
      <c r="I433" s="157"/>
      <c r="M433" s="157"/>
      <c r="Q433" s="157"/>
      <c r="U433" s="157"/>
      <c r="V433" s="67"/>
      <c r="Z433" s="157"/>
    </row>
    <row r="434">
      <c r="D434" s="157"/>
      <c r="E434" s="67"/>
      <c r="I434" s="157"/>
      <c r="M434" s="157"/>
      <c r="Q434" s="157"/>
      <c r="U434" s="157"/>
      <c r="V434" s="67"/>
      <c r="Z434" s="157"/>
    </row>
    <row r="435">
      <c r="D435" s="157"/>
      <c r="E435" s="67"/>
      <c r="I435" s="157"/>
      <c r="M435" s="157"/>
      <c r="Q435" s="157"/>
      <c r="U435" s="157"/>
      <c r="V435" s="67"/>
      <c r="Z435" s="157"/>
    </row>
    <row r="436">
      <c r="D436" s="157"/>
      <c r="E436" s="67"/>
      <c r="I436" s="157"/>
      <c r="M436" s="157"/>
      <c r="Q436" s="157"/>
      <c r="U436" s="157"/>
      <c r="V436" s="67"/>
      <c r="Z436" s="157"/>
    </row>
    <row r="437">
      <c r="D437" s="157"/>
      <c r="E437" s="67"/>
      <c r="I437" s="157"/>
      <c r="M437" s="157"/>
      <c r="Q437" s="157"/>
      <c r="U437" s="157"/>
      <c r="V437" s="67"/>
      <c r="Z437" s="157"/>
    </row>
    <row r="438">
      <c r="D438" s="157"/>
      <c r="E438" s="67"/>
      <c r="I438" s="157"/>
      <c r="M438" s="157"/>
      <c r="Q438" s="157"/>
      <c r="U438" s="157"/>
      <c r="V438" s="67"/>
      <c r="Z438" s="157"/>
    </row>
    <row r="439">
      <c r="D439" s="157"/>
      <c r="E439" s="67"/>
      <c r="I439" s="157"/>
      <c r="M439" s="157"/>
      <c r="Q439" s="157"/>
      <c r="U439" s="157"/>
      <c r="V439" s="67"/>
      <c r="Z439" s="157"/>
    </row>
    <row r="440">
      <c r="D440" s="157"/>
      <c r="E440" s="67"/>
      <c r="I440" s="157"/>
      <c r="M440" s="157"/>
      <c r="Q440" s="157"/>
      <c r="U440" s="157"/>
      <c r="V440" s="67"/>
      <c r="Z440" s="157"/>
    </row>
    <row r="441">
      <c r="D441" s="157"/>
      <c r="E441" s="67"/>
      <c r="I441" s="157"/>
      <c r="M441" s="157"/>
      <c r="Q441" s="157"/>
      <c r="U441" s="157"/>
      <c r="V441" s="67"/>
      <c r="Z441" s="157"/>
    </row>
    <row r="442">
      <c r="D442" s="157"/>
      <c r="E442" s="67"/>
      <c r="I442" s="157"/>
      <c r="M442" s="157"/>
      <c r="Q442" s="157"/>
      <c r="U442" s="157"/>
      <c r="V442" s="67"/>
      <c r="Z442" s="157"/>
    </row>
    <row r="443">
      <c r="D443" s="157"/>
      <c r="E443" s="67"/>
      <c r="I443" s="157"/>
      <c r="M443" s="157"/>
      <c r="Q443" s="157"/>
      <c r="U443" s="157"/>
      <c r="V443" s="67"/>
      <c r="Z443" s="157"/>
    </row>
    <row r="444">
      <c r="D444" s="157"/>
      <c r="E444" s="67"/>
      <c r="I444" s="157"/>
      <c r="M444" s="157"/>
      <c r="Q444" s="157"/>
      <c r="U444" s="157"/>
      <c r="V444" s="67"/>
      <c r="Z444" s="157"/>
    </row>
    <row r="445">
      <c r="D445" s="157"/>
      <c r="E445" s="67"/>
      <c r="I445" s="157"/>
      <c r="M445" s="157"/>
      <c r="Q445" s="157"/>
      <c r="U445" s="157"/>
      <c r="V445" s="67"/>
      <c r="Z445" s="157"/>
    </row>
    <row r="446">
      <c r="D446" s="157"/>
      <c r="E446" s="67"/>
      <c r="I446" s="157"/>
      <c r="M446" s="157"/>
      <c r="Q446" s="157"/>
      <c r="U446" s="157"/>
      <c r="V446" s="67"/>
      <c r="Z446" s="157"/>
    </row>
    <row r="447">
      <c r="D447" s="157"/>
      <c r="E447" s="67"/>
      <c r="I447" s="157"/>
      <c r="M447" s="157"/>
      <c r="Q447" s="157"/>
      <c r="U447" s="157"/>
      <c r="V447" s="67"/>
      <c r="Z447" s="157"/>
    </row>
    <row r="448">
      <c r="D448" s="157"/>
      <c r="E448" s="67"/>
      <c r="I448" s="157"/>
      <c r="M448" s="157"/>
      <c r="Q448" s="157"/>
      <c r="U448" s="157"/>
      <c r="V448" s="67"/>
      <c r="Z448" s="157"/>
    </row>
    <row r="449">
      <c r="D449" s="157"/>
      <c r="E449" s="67"/>
      <c r="I449" s="157"/>
      <c r="M449" s="157"/>
      <c r="Q449" s="157"/>
      <c r="U449" s="157"/>
      <c r="V449" s="67"/>
      <c r="Z449" s="157"/>
    </row>
    <row r="450">
      <c r="D450" s="157"/>
      <c r="E450" s="67"/>
      <c r="I450" s="157"/>
      <c r="M450" s="157"/>
      <c r="Q450" s="157"/>
      <c r="U450" s="157"/>
      <c r="V450" s="67"/>
      <c r="Z450" s="157"/>
    </row>
    <row r="451">
      <c r="D451" s="157"/>
      <c r="E451" s="67"/>
      <c r="I451" s="157"/>
      <c r="M451" s="157"/>
      <c r="Q451" s="157"/>
      <c r="U451" s="157"/>
      <c r="V451" s="67"/>
      <c r="Z451" s="157"/>
    </row>
    <row r="452">
      <c r="D452" s="157"/>
      <c r="E452" s="67"/>
      <c r="I452" s="157"/>
      <c r="M452" s="157"/>
      <c r="Q452" s="157"/>
      <c r="U452" s="157"/>
      <c r="V452" s="67"/>
      <c r="Z452" s="157"/>
    </row>
    <row r="453">
      <c r="D453" s="157"/>
      <c r="E453" s="67"/>
      <c r="I453" s="157"/>
      <c r="M453" s="157"/>
      <c r="Q453" s="157"/>
      <c r="U453" s="157"/>
      <c r="V453" s="67"/>
      <c r="Z453" s="157"/>
    </row>
    <row r="454">
      <c r="D454" s="157"/>
      <c r="E454" s="67"/>
      <c r="I454" s="157"/>
      <c r="M454" s="157"/>
      <c r="Q454" s="157"/>
      <c r="U454" s="157"/>
      <c r="V454" s="67"/>
      <c r="Z454" s="157"/>
    </row>
    <row r="455">
      <c r="D455" s="157"/>
      <c r="E455" s="67"/>
      <c r="I455" s="157"/>
      <c r="M455" s="157"/>
      <c r="Q455" s="157"/>
      <c r="U455" s="157"/>
      <c r="V455" s="67"/>
      <c r="Z455" s="157"/>
    </row>
    <row r="456">
      <c r="D456" s="157"/>
      <c r="E456" s="67"/>
      <c r="I456" s="157"/>
      <c r="M456" s="157"/>
      <c r="Q456" s="157"/>
      <c r="U456" s="157"/>
      <c r="V456" s="67"/>
      <c r="Z456" s="157"/>
    </row>
    <row r="457">
      <c r="D457" s="157"/>
      <c r="E457" s="67"/>
      <c r="I457" s="157"/>
      <c r="M457" s="157"/>
      <c r="Q457" s="157"/>
      <c r="U457" s="157"/>
      <c r="V457" s="67"/>
      <c r="Z457" s="157"/>
    </row>
    <row r="458">
      <c r="D458" s="157"/>
      <c r="E458" s="67"/>
      <c r="I458" s="157"/>
      <c r="M458" s="157"/>
      <c r="Q458" s="157"/>
      <c r="U458" s="157"/>
      <c r="V458" s="67"/>
      <c r="Z458" s="157"/>
    </row>
    <row r="459">
      <c r="D459" s="157"/>
      <c r="E459" s="67"/>
      <c r="I459" s="157"/>
      <c r="M459" s="157"/>
      <c r="Q459" s="157"/>
      <c r="U459" s="157"/>
      <c r="V459" s="67"/>
      <c r="Z459" s="157"/>
    </row>
    <row r="460">
      <c r="D460" s="157"/>
      <c r="E460" s="67"/>
      <c r="I460" s="157"/>
      <c r="M460" s="157"/>
      <c r="Q460" s="157"/>
      <c r="U460" s="157"/>
      <c r="V460" s="67"/>
      <c r="Z460" s="157"/>
    </row>
    <row r="461">
      <c r="D461" s="157"/>
      <c r="E461" s="67"/>
      <c r="I461" s="157"/>
      <c r="M461" s="157"/>
      <c r="Q461" s="157"/>
      <c r="U461" s="157"/>
      <c r="V461" s="67"/>
      <c r="Z461" s="157"/>
    </row>
    <row r="462">
      <c r="D462" s="157"/>
      <c r="E462" s="67"/>
      <c r="I462" s="157"/>
      <c r="M462" s="157"/>
      <c r="Q462" s="157"/>
      <c r="U462" s="157"/>
      <c r="V462" s="67"/>
      <c r="Z462" s="157"/>
    </row>
    <row r="463">
      <c r="D463" s="157"/>
      <c r="E463" s="67"/>
      <c r="I463" s="157"/>
      <c r="M463" s="157"/>
      <c r="Q463" s="157"/>
      <c r="U463" s="157"/>
      <c r="V463" s="67"/>
      <c r="Z463" s="157"/>
    </row>
    <row r="464">
      <c r="D464" s="157"/>
      <c r="E464" s="67"/>
      <c r="I464" s="157"/>
      <c r="M464" s="157"/>
      <c r="Q464" s="157"/>
      <c r="U464" s="157"/>
      <c r="V464" s="67"/>
      <c r="Z464" s="157"/>
    </row>
    <row r="465">
      <c r="D465" s="157"/>
      <c r="E465" s="67"/>
      <c r="I465" s="157"/>
      <c r="M465" s="157"/>
      <c r="Q465" s="157"/>
      <c r="U465" s="157"/>
      <c r="V465" s="67"/>
      <c r="Z465" s="157"/>
    </row>
    <row r="466">
      <c r="D466" s="157"/>
      <c r="E466" s="67"/>
      <c r="I466" s="157"/>
      <c r="M466" s="157"/>
      <c r="Q466" s="157"/>
      <c r="U466" s="157"/>
      <c r="V466" s="67"/>
      <c r="Z466" s="157"/>
    </row>
    <row r="467">
      <c r="D467" s="157"/>
      <c r="E467" s="67"/>
      <c r="I467" s="157"/>
      <c r="M467" s="157"/>
      <c r="Q467" s="157"/>
      <c r="U467" s="157"/>
      <c r="V467" s="67"/>
      <c r="Z467" s="157"/>
    </row>
    <row r="468">
      <c r="D468" s="157"/>
      <c r="E468" s="67"/>
      <c r="I468" s="157"/>
      <c r="M468" s="157"/>
      <c r="Q468" s="157"/>
      <c r="U468" s="157"/>
      <c r="V468" s="67"/>
      <c r="Z468" s="157"/>
    </row>
    <row r="469">
      <c r="D469" s="157"/>
      <c r="E469" s="67"/>
      <c r="I469" s="157"/>
      <c r="M469" s="157"/>
      <c r="Q469" s="157"/>
      <c r="U469" s="157"/>
      <c r="V469" s="67"/>
      <c r="Z469" s="157"/>
    </row>
    <row r="470">
      <c r="D470" s="157"/>
      <c r="E470" s="67"/>
      <c r="I470" s="157"/>
      <c r="M470" s="157"/>
      <c r="Q470" s="157"/>
      <c r="U470" s="157"/>
      <c r="V470" s="67"/>
      <c r="Z470" s="157"/>
    </row>
    <row r="471">
      <c r="D471" s="157"/>
      <c r="E471" s="67"/>
      <c r="I471" s="157"/>
      <c r="M471" s="157"/>
      <c r="Q471" s="157"/>
      <c r="U471" s="157"/>
      <c r="V471" s="67"/>
      <c r="Z471" s="157"/>
    </row>
    <row r="472">
      <c r="D472" s="157"/>
      <c r="E472" s="67"/>
      <c r="I472" s="157"/>
      <c r="M472" s="157"/>
      <c r="Q472" s="157"/>
      <c r="U472" s="157"/>
      <c r="V472" s="67"/>
      <c r="Z472" s="157"/>
    </row>
    <row r="473">
      <c r="D473" s="157"/>
      <c r="E473" s="67"/>
      <c r="I473" s="157"/>
      <c r="M473" s="157"/>
      <c r="Q473" s="157"/>
      <c r="U473" s="157"/>
      <c r="V473" s="67"/>
      <c r="Z473" s="157"/>
    </row>
    <row r="474">
      <c r="D474" s="157"/>
      <c r="E474" s="67"/>
      <c r="I474" s="157"/>
      <c r="M474" s="157"/>
      <c r="Q474" s="157"/>
      <c r="U474" s="157"/>
      <c r="V474" s="67"/>
      <c r="Z474" s="157"/>
    </row>
    <row r="475">
      <c r="D475" s="157"/>
      <c r="E475" s="67"/>
      <c r="I475" s="157"/>
      <c r="M475" s="157"/>
      <c r="Q475" s="157"/>
      <c r="U475" s="157"/>
      <c r="V475" s="67"/>
      <c r="Z475" s="157"/>
    </row>
    <row r="476">
      <c r="D476" s="157"/>
      <c r="E476" s="67"/>
      <c r="I476" s="157"/>
      <c r="M476" s="157"/>
      <c r="Q476" s="157"/>
      <c r="U476" s="157"/>
      <c r="V476" s="67"/>
      <c r="Z476" s="157"/>
    </row>
    <row r="477">
      <c r="D477" s="157"/>
      <c r="E477" s="67"/>
      <c r="I477" s="157"/>
      <c r="M477" s="157"/>
      <c r="Q477" s="157"/>
      <c r="U477" s="157"/>
      <c r="V477" s="67"/>
      <c r="Z477" s="157"/>
    </row>
    <row r="478">
      <c r="D478" s="157"/>
      <c r="E478" s="67"/>
      <c r="I478" s="157"/>
      <c r="M478" s="157"/>
      <c r="Q478" s="157"/>
      <c r="U478" s="157"/>
      <c r="V478" s="67"/>
      <c r="Z478" s="157"/>
    </row>
    <row r="479">
      <c r="D479" s="157"/>
      <c r="E479" s="67"/>
      <c r="I479" s="157"/>
      <c r="M479" s="157"/>
      <c r="Q479" s="157"/>
      <c r="U479" s="157"/>
      <c r="V479" s="67"/>
      <c r="Z479" s="157"/>
    </row>
    <row r="480">
      <c r="D480" s="157"/>
      <c r="E480" s="67"/>
      <c r="I480" s="157"/>
      <c r="M480" s="157"/>
      <c r="Q480" s="157"/>
      <c r="U480" s="157"/>
      <c r="V480" s="67"/>
      <c r="Z480" s="157"/>
    </row>
    <row r="481">
      <c r="D481" s="157"/>
      <c r="E481" s="67"/>
      <c r="I481" s="157"/>
      <c r="M481" s="157"/>
      <c r="Q481" s="157"/>
      <c r="U481" s="157"/>
      <c r="V481" s="67"/>
      <c r="Z481" s="157"/>
    </row>
    <row r="482">
      <c r="D482" s="157"/>
      <c r="E482" s="67"/>
      <c r="I482" s="157"/>
      <c r="M482" s="157"/>
      <c r="Q482" s="157"/>
      <c r="U482" s="157"/>
      <c r="V482" s="67"/>
      <c r="Z482" s="157"/>
    </row>
    <row r="483">
      <c r="D483" s="157"/>
      <c r="E483" s="67"/>
      <c r="I483" s="157"/>
      <c r="M483" s="157"/>
      <c r="Q483" s="157"/>
      <c r="U483" s="157"/>
      <c r="V483" s="67"/>
      <c r="Z483" s="157"/>
    </row>
    <row r="484">
      <c r="D484" s="157"/>
      <c r="E484" s="67"/>
      <c r="I484" s="157"/>
      <c r="M484" s="157"/>
      <c r="Q484" s="157"/>
      <c r="U484" s="157"/>
      <c r="V484" s="67"/>
      <c r="Z484" s="157"/>
    </row>
    <row r="485">
      <c r="D485" s="157"/>
      <c r="E485" s="67"/>
      <c r="I485" s="157"/>
      <c r="M485" s="157"/>
      <c r="Q485" s="157"/>
      <c r="U485" s="157"/>
      <c r="V485" s="67"/>
      <c r="Z485" s="157"/>
    </row>
    <row r="486">
      <c r="D486" s="157"/>
      <c r="E486" s="67"/>
      <c r="I486" s="157"/>
      <c r="M486" s="157"/>
      <c r="Q486" s="157"/>
      <c r="U486" s="157"/>
      <c r="V486" s="67"/>
      <c r="Z486" s="157"/>
    </row>
    <row r="487">
      <c r="D487" s="157"/>
      <c r="E487" s="67"/>
      <c r="I487" s="157"/>
      <c r="M487" s="157"/>
      <c r="Q487" s="157"/>
      <c r="U487" s="157"/>
      <c r="V487" s="67"/>
      <c r="Z487" s="157"/>
    </row>
    <row r="488">
      <c r="D488" s="157"/>
      <c r="E488" s="67"/>
      <c r="I488" s="157"/>
      <c r="M488" s="157"/>
      <c r="Q488" s="157"/>
      <c r="U488" s="157"/>
      <c r="V488" s="67"/>
      <c r="Z488" s="157"/>
    </row>
    <row r="489">
      <c r="D489" s="157"/>
      <c r="E489" s="67"/>
      <c r="I489" s="157"/>
      <c r="M489" s="157"/>
      <c r="Q489" s="157"/>
      <c r="U489" s="157"/>
      <c r="V489" s="67"/>
      <c r="Z489" s="157"/>
    </row>
    <row r="490">
      <c r="D490" s="157"/>
      <c r="E490" s="67"/>
      <c r="I490" s="157"/>
      <c r="M490" s="157"/>
      <c r="Q490" s="157"/>
      <c r="U490" s="157"/>
      <c r="V490" s="67"/>
      <c r="Z490" s="157"/>
    </row>
    <row r="491">
      <c r="D491" s="157"/>
      <c r="E491" s="67"/>
      <c r="I491" s="157"/>
      <c r="M491" s="157"/>
      <c r="Q491" s="157"/>
      <c r="U491" s="157"/>
      <c r="V491" s="67"/>
      <c r="Z491" s="157"/>
    </row>
    <row r="492">
      <c r="D492" s="157"/>
      <c r="E492" s="67"/>
      <c r="I492" s="157"/>
      <c r="M492" s="157"/>
      <c r="Q492" s="157"/>
      <c r="U492" s="157"/>
      <c r="V492" s="67"/>
      <c r="Z492" s="157"/>
    </row>
    <row r="493">
      <c r="D493" s="157"/>
      <c r="E493" s="67"/>
      <c r="I493" s="157"/>
      <c r="M493" s="157"/>
      <c r="Q493" s="157"/>
      <c r="U493" s="157"/>
      <c r="V493" s="67"/>
      <c r="Z493" s="157"/>
    </row>
    <row r="494">
      <c r="D494" s="157"/>
      <c r="E494" s="67"/>
      <c r="I494" s="157"/>
      <c r="M494" s="157"/>
      <c r="Q494" s="157"/>
      <c r="U494" s="157"/>
      <c r="V494" s="67"/>
      <c r="Z494" s="157"/>
    </row>
    <row r="495">
      <c r="D495" s="157"/>
      <c r="E495" s="67"/>
      <c r="I495" s="157"/>
      <c r="M495" s="157"/>
      <c r="Q495" s="157"/>
      <c r="U495" s="157"/>
      <c r="V495" s="67"/>
      <c r="Z495" s="157"/>
    </row>
    <row r="496">
      <c r="D496" s="157"/>
      <c r="E496" s="67"/>
      <c r="I496" s="157"/>
      <c r="M496" s="157"/>
      <c r="Q496" s="157"/>
      <c r="U496" s="157"/>
      <c r="V496" s="67"/>
      <c r="Z496" s="157"/>
    </row>
    <row r="497">
      <c r="D497" s="157"/>
      <c r="E497" s="67"/>
      <c r="I497" s="157"/>
      <c r="M497" s="157"/>
      <c r="Q497" s="157"/>
      <c r="U497" s="157"/>
      <c r="V497" s="67"/>
      <c r="Z497" s="157"/>
    </row>
    <row r="498">
      <c r="D498" s="157"/>
      <c r="E498" s="67"/>
      <c r="I498" s="157"/>
      <c r="M498" s="157"/>
      <c r="Q498" s="157"/>
      <c r="U498" s="157"/>
      <c r="V498" s="67"/>
      <c r="Z498" s="157"/>
    </row>
    <row r="499">
      <c r="D499" s="157"/>
      <c r="E499" s="67"/>
      <c r="I499" s="157"/>
      <c r="M499" s="157"/>
      <c r="Q499" s="157"/>
      <c r="U499" s="157"/>
      <c r="V499" s="67"/>
      <c r="Z499" s="157"/>
    </row>
    <row r="500">
      <c r="D500" s="157"/>
      <c r="E500" s="67"/>
      <c r="I500" s="157"/>
      <c r="M500" s="157"/>
      <c r="Q500" s="157"/>
      <c r="U500" s="157"/>
      <c r="V500" s="67"/>
      <c r="Z500" s="157"/>
    </row>
    <row r="501">
      <c r="D501" s="157"/>
      <c r="E501" s="67"/>
      <c r="I501" s="157"/>
      <c r="M501" s="157"/>
      <c r="Q501" s="157"/>
      <c r="U501" s="157"/>
      <c r="V501" s="67"/>
      <c r="Z501" s="157"/>
    </row>
    <row r="502">
      <c r="D502" s="157"/>
      <c r="E502" s="67"/>
      <c r="I502" s="157"/>
      <c r="M502" s="157"/>
      <c r="Q502" s="157"/>
      <c r="U502" s="157"/>
      <c r="V502" s="67"/>
      <c r="Z502" s="157"/>
    </row>
    <row r="503">
      <c r="D503" s="157"/>
      <c r="E503" s="67"/>
      <c r="I503" s="157"/>
      <c r="M503" s="157"/>
      <c r="Q503" s="157"/>
      <c r="U503" s="157"/>
      <c r="V503" s="67"/>
      <c r="Z503" s="157"/>
    </row>
    <row r="504">
      <c r="D504" s="157"/>
      <c r="E504" s="67"/>
      <c r="I504" s="157"/>
      <c r="M504" s="157"/>
      <c r="Q504" s="157"/>
      <c r="U504" s="157"/>
      <c r="V504" s="67"/>
      <c r="Z504" s="157"/>
    </row>
    <row r="505">
      <c r="D505" s="157"/>
      <c r="E505" s="67"/>
      <c r="I505" s="157"/>
      <c r="M505" s="157"/>
      <c r="Q505" s="157"/>
      <c r="U505" s="157"/>
      <c r="V505" s="67"/>
      <c r="Z505" s="157"/>
    </row>
    <row r="506">
      <c r="D506" s="157"/>
      <c r="E506" s="67"/>
      <c r="I506" s="157"/>
      <c r="M506" s="157"/>
      <c r="Q506" s="157"/>
      <c r="U506" s="157"/>
      <c r="V506" s="67"/>
      <c r="Z506" s="157"/>
    </row>
    <row r="507">
      <c r="D507" s="157"/>
      <c r="E507" s="67"/>
      <c r="I507" s="157"/>
      <c r="M507" s="157"/>
      <c r="Q507" s="157"/>
      <c r="U507" s="157"/>
      <c r="V507" s="67"/>
      <c r="Z507" s="157"/>
    </row>
    <row r="508">
      <c r="D508" s="157"/>
      <c r="E508" s="67"/>
      <c r="I508" s="157"/>
      <c r="M508" s="157"/>
      <c r="Q508" s="157"/>
      <c r="U508" s="157"/>
      <c r="V508" s="67"/>
      <c r="Z508" s="157"/>
    </row>
    <row r="509">
      <c r="D509" s="157"/>
      <c r="E509" s="67"/>
      <c r="I509" s="157"/>
      <c r="M509" s="157"/>
      <c r="Q509" s="157"/>
      <c r="U509" s="157"/>
      <c r="V509" s="67"/>
      <c r="Z509" s="157"/>
    </row>
    <row r="510">
      <c r="D510" s="157"/>
      <c r="E510" s="67"/>
      <c r="I510" s="157"/>
      <c r="M510" s="157"/>
      <c r="Q510" s="157"/>
      <c r="U510" s="157"/>
      <c r="V510" s="67"/>
      <c r="Z510" s="157"/>
    </row>
    <row r="511">
      <c r="D511" s="157"/>
      <c r="E511" s="67"/>
      <c r="I511" s="157"/>
      <c r="M511" s="157"/>
      <c r="Q511" s="157"/>
      <c r="U511" s="157"/>
      <c r="V511" s="67"/>
      <c r="Z511" s="157"/>
    </row>
    <row r="512">
      <c r="D512" s="157"/>
      <c r="E512" s="67"/>
      <c r="I512" s="157"/>
      <c r="M512" s="157"/>
      <c r="Q512" s="157"/>
      <c r="U512" s="157"/>
      <c r="V512" s="67"/>
      <c r="Z512" s="157"/>
    </row>
    <row r="513">
      <c r="D513" s="157"/>
      <c r="E513" s="67"/>
      <c r="I513" s="157"/>
      <c r="M513" s="157"/>
      <c r="Q513" s="157"/>
      <c r="U513" s="157"/>
      <c r="V513" s="67"/>
      <c r="Z513" s="157"/>
    </row>
    <row r="514">
      <c r="D514" s="157"/>
      <c r="E514" s="67"/>
      <c r="I514" s="157"/>
      <c r="M514" s="157"/>
      <c r="Q514" s="157"/>
      <c r="U514" s="157"/>
      <c r="V514" s="67"/>
      <c r="Z514" s="157"/>
    </row>
    <row r="515">
      <c r="D515" s="157"/>
      <c r="E515" s="67"/>
      <c r="I515" s="157"/>
      <c r="M515" s="157"/>
      <c r="Q515" s="157"/>
      <c r="U515" s="157"/>
      <c r="V515" s="67"/>
      <c r="Z515" s="157"/>
    </row>
    <row r="516">
      <c r="D516" s="157"/>
      <c r="E516" s="67"/>
      <c r="I516" s="157"/>
      <c r="M516" s="157"/>
      <c r="Q516" s="157"/>
      <c r="U516" s="157"/>
      <c r="V516" s="67"/>
      <c r="Z516" s="157"/>
    </row>
    <row r="517">
      <c r="D517" s="157"/>
      <c r="E517" s="67"/>
      <c r="I517" s="157"/>
      <c r="M517" s="157"/>
      <c r="Q517" s="157"/>
      <c r="U517" s="157"/>
      <c r="V517" s="67"/>
      <c r="Z517" s="157"/>
    </row>
    <row r="518">
      <c r="D518" s="157"/>
      <c r="E518" s="67"/>
      <c r="I518" s="157"/>
      <c r="M518" s="157"/>
      <c r="Q518" s="157"/>
      <c r="U518" s="157"/>
      <c r="V518" s="67"/>
      <c r="Z518" s="157"/>
    </row>
    <row r="519">
      <c r="D519" s="157"/>
      <c r="E519" s="67"/>
      <c r="I519" s="157"/>
      <c r="M519" s="157"/>
      <c r="Q519" s="157"/>
      <c r="U519" s="157"/>
      <c r="V519" s="67"/>
      <c r="Z519" s="157"/>
    </row>
    <row r="520">
      <c r="D520" s="157"/>
      <c r="E520" s="67"/>
      <c r="I520" s="157"/>
      <c r="M520" s="157"/>
      <c r="Q520" s="157"/>
      <c r="U520" s="157"/>
      <c r="V520" s="67"/>
      <c r="Z520" s="157"/>
    </row>
    <row r="521">
      <c r="D521" s="157"/>
      <c r="E521" s="67"/>
      <c r="I521" s="157"/>
      <c r="M521" s="157"/>
      <c r="Q521" s="157"/>
      <c r="U521" s="157"/>
      <c r="V521" s="67"/>
      <c r="Z521" s="157"/>
    </row>
    <row r="522">
      <c r="D522" s="157"/>
      <c r="E522" s="67"/>
      <c r="I522" s="157"/>
      <c r="M522" s="157"/>
      <c r="Q522" s="157"/>
      <c r="U522" s="157"/>
      <c r="V522" s="67"/>
      <c r="Z522" s="157"/>
    </row>
    <row r="523">
      <c r="D523" s="157"/>
      <c r="E523" s="67"/>
      <c r="I523" s="157"/>
      <c r="M523" s="157"/>
      <c r="Q523" s="157"/>
      <c r="U523" s="157"/>
      <c r="V523" s="67"/>
      <c r="Z523" s="157"/>
    </row>
    <row r="524">
      <c r="D524" s="157"/>
      <c r="E524" s="67"/>
      <c r="I524" s="157"/>
      <c r="M524" s="157"/>
      <c r="Q524" s="157"/>
      <c r="U524" s="157"/>
      <c r="V524" s="67"/>
      <c r="Z524" s="157"/>
    </row>
    <row r="525">
      <c r="D525" s="157"/>
      <c r="E525" s="67"/>
      <c r="I525" s="157"/>
      <c r="M525" s="157"/>
      <c r="Q525" s="157"/>
      <c r="U525" s="157"/>
      <c r="V525" s="67"/>
      <c r="Z525" s="157"/>
    </row>
    <row r="526">
      <c r="D526" s="157"/>
      <c r="E526" s="67"/>
      <c r="I526" s="157"/>
      <c r="M526" s="157"/>
      <c r="Q526" s="157"/>
      <c r="U526" s="157"/>
      <c r="V526" s="67"/>
      <c r="Z526" s="157"/>
    </row>
    <row r="527">
      <c r="D527" s="157"/>
      <c r="E527" s="67"/>
      <c r="I527" s="157"/>
      <c r="M527" s="157"/>
      <c r="Q527" s="157"/>
      <c r="U527" s="157"/>
      <c r="V527" s="67"/>
      <c r="Z527" s="157"/>
    </row>
    <row r="528">
      <c r="D528" s="157"/>
      <c r="E528" s="67"/>
      <c r="I528" s="157"/>
      <c r="M528" s="157"/>
      <c r="Q528" s="157"/>
      <c r="U528" s="157"/>
      <c r="V528" s="67"/>
      <c r="Z528" s="157"/>
    </row>
    <row r="529">
      <c r="D529" s="157"/>
      <c r="E529" s="67"/>
      <c r="I529" s="157"/>
      <c r="M529" s="157"/>
      <c r="Q529" s="157"/>
      <c r="U529" s="157"/>
      <c r="V529" s="67"/>
      <c r="Z529" s="157"/>
    </row>
    <row r="530">
      <c r="D530" s="157"/>
      <c r="E530" s="67"/>
      <c r="I530" s="157"/>
      <c r="M530" s="157"/>
      <c r="Q530" s="157"/>
      <c r="U530" s="157"/>
      <c r="V530" s="67"/>
      <c r="Z530" s="157"/>
    </row>
    <row r="531">
      <c r="D531" s="157"/>
      <c r="E531" s="67"/>
      <c r="I531" s="157"/>
      <c r="M531" s="157"/>
      <c r="Q531" s="157"/>
      <c r="U531" s="157"/>
      <c r="V531" s="67"/>
      <c r="Z531" s="157"/>
    </row>
    <row r="532">
      <c r="D532" s="157"/>
      <c r="E532" s="67"/>
      <c r="I532" s="157"/>
      <c r="M532" s="157"/>
      <c r="Q532" s="157"/>
      <c r="U532" s="157"/>
      <c r="V532" s="67"/>
      <c r="Z532" s="157"/>
    </row>
    <row r="533">
      <c r="D533" s="157"/>
      <c r="E533" s="67"/>
      <c r="I533" s="157"/>
      <c r="M533" s="157"/>
      <c r="Q533" s="157"/>
      <c r="U533" s="157"/>
      <c r="V533" s="67"/>
      <c r="Z533" s="157"/>
    </row>
    <row r="534">
      <c r="D534" s="157"/>
      <c r="E534" s="67"/>
      <c r="I534" s="157"/>
      <c r="M534" s="157"/>
      <c r="Q534" s="157"/>
      <c r="U534" s="157"/>
      <c r="V534" s="67"/>
      <c r="Z534" s="157"/>
    </row>
    <row r="535">
      <c r="D535" s="157"/>
      <c r="E535" s="67"/>
      <c r="I535" s="157"/>
      <c r="M535" s="157"/>
      <c r="Q535" s="157"/>
      <c r="U535" s="157"/>
      <c r="V535" s="67"/>
      <c r="Z535" s="157"/>
    </row>
    <row r="536">
      <c r="D536" s="157"/>
      <c r="E536" s="67"/>
      <c r="I536" s="157"/>
      <c r="M536" s="157"/>
      <c r="Q536" s="157"/>
      <c r="U536" s="157"/>
      <c r="V536" s="67"/>
      <c r="Z536" s="157"/>
    </row>
    <row r="537">
      <c r="D537" s="157"/>
      <c r="E537" s="67"/>
      <c r="I537" s="157"/>
      <c r="M537" s="157"/>
      <c r="Q537" s="157"/>
      <c r="U537" s="157"/>
      <c r="V537" s="67"/>
      <c r="Z537" s="157"/>
    </row>
    <row r="538">
      <c r="D538" s="157"/>
      <c r="E538" s="67"/>
      <c r="I538" s="157"/>
      <c r="M538" s="157"/>
      <c r="Q538" s="157"/>
      <c r="U538" s="157"/>
      <c r="V538" s="67"/>
      <c r="Z538" s="157"/>
    </row>
    <row r="539">
      <c r="D539" s="157"/>
      <c r="E539" s="67"/>
      <c r="I539" s="157"/>
      <c r="M539" s="157"/>
      <c r="Q539" s="157"/>
      <c r="U539" s="157"/>
      <c r="V539" s="67"/>
      <c r="Z539" s="157"/>
    </row>
    <row r="540">
      <c r="D540" s="157"/>
      <c r="E540" s="67"/>
      <c r="I540" s="157"/>
      <c r="M540" s="157"/>
      <c r="Q540" s="157"/>
      <c r="U540" s="157"/>
      <c r="V540" s="67"/>
      <c r="Z540" s="157"/>
    </row>
    <row r="541">
      <c r="D541" s="157"/>
      <c r="E541" s="67"/>
      <c r="I541" s="157"/>
      <c r="M541" s="157"/>
      <c r="Q541" s="157"/>
      <c r="U541" s="157"/>
      <c r="V541" s="67"/>
      <c r="Z541" s="157"/>
    </row>
    <row r="542">
      <c r="D542" s="157"/>
      <c r="E542" s="67"/>
      <c r="I542" s="157"/>
      <c r="M542" s="157"/>
      <c r="Q542" s="157"/>
      <c r="U542" s="157"/>
      <c r="V542" s="67"/>
      <c r="Z542" s="157"/>
    </row>
    <row r="543">
      <c r="D543" s="157"/>
      <c r="E543" s="67"/>
      <c r="I543" s="157"/>
      <c r="M543" s="157"/>
      <c r="Q543" s="157"/>
      <c r="U543" s="157"/>
      <c r="V543" s="67"/>
      <c r="Z543" s="157"/>
    </row>
    <row r="544">
      <c r="D544" s="157"/>
      <c r="E544" s="67"/>
      <c r="I544" s="157"/>
      <c r="M544" s="157"/>
      <c r="Q544" s="157"/>
      <c r="U544" s="157"/>
      <c r="V544" s="67"/>
      <c r="Z544" s="157"/>
    </row>
    <row r="545">
      <c r="D545" s="157"/>
      <c r="E545" s="67"/>
      <c r="I545" s="157"/>
      <c r="M545" s="157"/>
      <c r="Q545" s="157"/>
      <c r="U545" s="157"/>
      <c r="V545" s="67"/>
      <c r="Z545" s="157"/>
    </row>
    <row r="546">
      <c r="D546" s="157"/>
      <c r="E546" s="67"/>
      <c r="I546" s="157"/>
      <c r="M546" s="157"/>
      <c r="Q546" s="157"/>
      <c r="U546" s="157"/>
      <c r="V546" s="67"/>
      <c r="Z546" s="157"/>
    </row>
    <row r="547">
      <c r="D547" s="157"/>
      <c r="E547" s="67"/>
      <c r="I547" s="157"/>
      <c r="M547" s="157"/>
      <c r="Q547" s="157"/>
      <c r="U547" s="157"/>
      <c r="V547" s="67"/>
      <c r="Z547" s="157"/>
    </row>
    <row r="548">
      <c r="D548" s="157"/>
      <c r="E548" s="67"/>
      <c r="I548" s="157"/>
      <c r="M548" s="157"/>
      <c r="Q548" s="157"/>
      <c r="U548" s="157"/>
      <c r="V548" s="67"/>
      <c r="Z548" s="157"/>
    </row>
    <row r="549">
      <c r="D549" s="157"/>
      <c r="E549" s="67"/>
      <c r="I549" s="157"/>
      <c r="M549" s="157"/>
      <c r="Q549" s="157"/>
      <c r="U549" s="157"/>
      <c r="V549" s="67"/>
      <c r="Z549" s="157"/>
    </row>
    <row r="550">
      <c r="D550" s="157"/>
      <c r="E550" s="67"/>
      <c r="I550" s="157"/>
      <c r="M550" s="157"/>
      <c r="Q550" s="157"/>
      <c r="U550" s="157"/>
      <c r="V550" s="67"/>
      <c r="Z550" s="157"/>
    </row>
    <row r="551">
      <c r="D551" s="157"/>
      <c r="E551" s="67"/>
      <c r="I551" s="157"/>
      <c r="M551" s="157"/>
      <c r="Q551" s="157"/>
      <c r="U551" s="157"/>
      <c r="V551" s="67"/>
      <c r="Z551" s="157"/>
    </row>
    <row r="552">
      <c r="D552" s="157"/>
      <c r="E552" s="67"/>
      <c r="I552" s="157"/>
      <c r="M552" s="157"/>
      <c r="Q552" s="157"/>
      <c r="U552" s="157"/>
      <c r="V552" s="67"/>
      <c r="Z552" s="157"/>
    </row>
    <row r="553">
      <c r="D553" s="157"/>
      <c r="E553" s="67"/>
      <c r="I553" s="157"/>
      <c r="M553" s="157"/>
      <c r="Q553" s="157"/>
      <c r="U553" s="157"/>
      <c r="V553" s="67"/>
      <c r="Z553" s="157"/>
    </row>
    <row r="554">
      <c r="D554" s="157"/>
      <c r="E554" s="67"/>
      <c r="I554" s="157"/>
      <c r="M554" s="157"/>
      <c r="Q554" s="157"/>
      <c r="U554" s="157"/>
      <c r="V554" s="67"/>
      <c r="Z554" s="157"/>
    </row>
    <row r="555">
      <c r="D555" s="157"/>
      <c r="E555" s="67"/>
      <c r="I555" s="157"/>
      <c r="M555" s="157"/>
      <c r="Q555" s="157"/>
      <c r="U555" s="157"/>
      <c r="V555" s="67"/>
      <c r="Z555" s="157"/>
    </row>
    <row r="556">
      <c r="D556" s="157"/>
      <c r="E556" s="67"/>
      <c r="I556" s="157"/>
      <c r="M556" s="157"/>
      <c r="Q556" s="157"/>
      <c r="U556" s="157"/>
      <c r="V556" s="67"/>
      <c r="Z556" s="157"/>
    </row>
    <row r="557">
      <c r="D557" s="157"/>
      <c r="E557" s="67"/>
      <c r="I557" s="157"/>
      <c r="M557" s="157"/>
      <c r="Q557" s="157"/>
      <c r="U557" s="157"/>
      <c r="V557" s="67"/>
      <c r="Z557" s="157"/>
    </row>
    <row r="558">
      <c r="D558" s="157"/>
      <c r="E558" s="67"/>
      <c r="I558" s="157"/>
      <c r="M558" s="157"/>
      <c r="Q558" s="157"/>
      <c r="U558" s="157"/>
      <c r="V558" s="67"/>
      <c r="Z558" s="157"/>
    </row>
    <row r="559">
      <c r="D559" s="157"/>
      <c r="E559" s="67"/>
      <c r="I559" s="157"/>
      <c r="M559" s="157"/>
      <c r="Q559" s="157"/>
      <c r="U559" s="157"/>
      <c r="V559" s="67"/>
      <c r="Z559" s="157"/>
    </row>
    <row r="560">
      <c r="D560" s="157"/>
      <c r="E560" s="67"/>
      <c r="I560" s="157"/>
      <c r="M560" s="157"/>
      <c r="Q560" s="157"/>
      <c r="U560" s="157"/>
      <c r="V560" s="67"/>
      <c r="Z560" s="157"/>
    </row>
    <row r="561">
      <c r="D561" s="157"/>
      <c r="E561" s="67"/>
      <c r="I561" s="157"/>
      <c r="M561" s="157"/>
      <c r="Q561" s="157"/>
      <c r="U561" s="157"/>
      <c r="V561" s="67"/>
      <c r="Z561" s="157"/>
    </row>
    <row r="562">
      <c r="D562" s="157"/>
      <c r="E562" s="67"/>
      <c r="I562" s="157"/>
      <c r="M562" s="157"/>
      <c r="Q562" s="157"/>
      <c r="U562" s="157"/>
      <c r="V562" s="67"/>
      <c r="Z562" s="157"/>
    </row>
    <row r="563">
      <c r="D563" s="157"/>
      <c r="E563" s="67"/>
      <c r="I563" s="157"/>
      <c r="M563" s="157"/>
      <c r="Q563" s="157"/>
      <c r="U563" s="157"/>
      <c r="V563" s="67"/>
      <c r="Z563" s="157"/>
    </row>
    <row r="564">
      <c r="D564" s="157"/>
      <c r="E564" s="67"/>
      <c r="I564" s="157"/>
      <c r="M564" s="157"/>
      <c r="Q564" s="157"/>
      <c r="U564" s="157"/>
      <c r="V564" s="67"/>
      <c r="Z564" s="157"/>
    </row>
    <row r="565">
      <c r="D565" s="157"/>
      <c r="E565" s="67"/>
      <c r="I565" s="157"/>
      <c r="M565" s="157"/>
      <c r="Q565" s="157"/>
      <c r="U565" s="157"/>
      <c r="V565" s="67"/>
      <c r="Z565" s="157"/>
    </row>
    <row r="566">
      <c r="D566" s="157"/>
      <c r="E566" s="67"/>
      <c r="I566" s="157"/>
      <c r="M566" s="157"/>
      <c r="Q566" s="157"/>
      <c r="U566" s="157"/>
      <c r="V566" s="67"/>
      <c r="Z566" s="157"/>
    </row>
    <row r="567">
      <c r="D567" s="157"/>
      <c r="E567" s="67"/>
      <c r="I567" s="157"/>
      <c r="M567" s="157"/>
      <c r="Q567" s="157"/>
      <c r="U567" s="157"/>
      <c r="V567" s="67"/>
      <c r="Z567" s="157"/>
    </row>
    <row r="568">
      <c r="D568" s="157"/>
      <c r="E568" s="67"/>
      <c r="I568" s="157"/>
      <c r="M568" s="157"/>
      <c r="Q568" s="157"/>
      <c r="U568" s="157"/>
      <c r="V568" s="67"/>
      <c r="Z568" s="157"/>
    </row>
    <row r="569">
      <c r="D569" s="157"/>
      <c r="E569" s="67"/>
      <c r="I569" s="157"/>
      <c r="M569" s="157"/>
      <c r="Q569" s="157"/>
      <c r="U569" s="157"/>
      <c r="V569" s="67"/>
      <c r="Z569" s="157"/>
    </row>
    <row r="570">
      <c r="D570" s="157"/>
      <c r="E570" s="67"/>
      <c r="I570" s="157"/>
      <c r="M570" s="157"/>
      <c r="Q570" s="157"/>
      <c r="U570" s="157"/>
      <c r="V570" s="67"/>
      <c r="Z570" s="157"/>
    </row>
    <row r="571">
      <c r="D571" s="157"/>
      <c r="E571" s="67"/>
      <c r="I571" s="157"/>
      <c r="M571" s="157"/>
      <c r="Q571" s="157"/>
      <c r="U571" s="157"/>
      <c r="V571" s="67"/>
      <c r="Z571" s="157"/>
    </row>
    <row r="572">
      <c r="D572" s="157"/>
      <c r="E572" s="67"/>
      <c r="I572" s="157"/>
      <c r="M572" s="157"/>
      <c r="Q572" s="157"/>
      <c r="U572" s="157"/>
      <c r="V572" s="67"/>
      <c r="Z572" s="157"/>
    </row>
    <row r="573">
      <c r="D573" s="157"/>
      <c r="E573" s="67"/>
      <c r="I573" s="157"/>
      <c r="M573" s="157"/>
      <c r="Q573" s="157"/>
      <c r="U573" s="157"/>
      <c r="V573" s="67"/>
      <c r="Z573" s="157"/>
    </row>
    <row r="574">
      <c r="D574" s="157"/>
      <c r="E574" s="67"/>
      <c r="I574" s="157"/>
      <c r="M574" s="157"/>
      <c r="Q574" s="157"/>
      <c r="U574" s="157"/>
      <c r="V574" s="67"/>
      <c r="Z574" s="157"/>
    </row>
    <row r="575">
      <c r="D575" s="157"/>
      <c r="E575" s="67"/>
      <c r="I575" s="157"/>
      <c r="M575" s="157"/>
      <c r="Q575" s="157"/>
      <c r="U575" s="157"/>
      <c r="V575" s="67"/>
      <c r="Z575" s="157"/>
    </row>
    <row r="576">
      <c r="D576" s="157"/>
      <c r="E576" s="67"/>
      <c r="I576" s="157"/>
      <c r="M576" s="157"/>
      <c r="Q576" s="157"/>
      <c r="U576" s="157"/>
      <c r="V576" s="67"/>
      <c r="Z576" s="157"/>
    </row>
    <row r="577">
      <c r="D577" s="157"/>
      <c r="E577" s="67"/>
      <c r="I577" s="157"/>
      <c r="M577" s="157"/>
      <c r="Q577" s="157"/>
      <c r="U577" s="157"/>
      <c r="V577" s="67"/>
      <c r="Z577" s="157"/>
    </row>
    <row r="578">
      <c r="D578" s="157"/>
      <c r="E578" s="67"/>
      <c r="I578" s="157"/>
      <c r="M578" s="157"/>
      <c r="Q578" s="157"/>
      <c r="U578" s="157"/>
      <c r="V578" s="67"/>
      <c r="Z578" s="157"/>
    </row>
    <row r="579">
      <c r="D579" s="157"/>
      <c r="E579" s="67"/>
      <c r="I579" s="157"/>
      <c r="M579" s="157"/>
      <c r="Q579" s="157"/>
      <c r="U579" s="157"/>
      <c r="V579" s="67"/>
      <c r="Z579" s="157"/>
    </row>
    <row r="580">
      <c r="D580" s="157"/>
      <c r="E580" s="67"/>
      <c r="I580" s="157"/>
      <c r="M580" s="157"/>
      <c r="Q580" s="157"/>
      <c r="U580" s="157"/>
      <c r="V580" s="67"/>
      <c r="Z580" s="157"/>
    </row>
    <row r="581">
      <c r="D581" s="157"/>
      <c r="E581" s="67"/>
      <c r="I581" s="157"/>
      <c r="M581" s="157"/>
      <c r="Q581" s="157"/>
      <c r="U581" s="157"/>
      <c r="V581" s="67"/>
      <c r="Z581" s="157"/>
    </row>
    <row r="582">
      <c r="D582" s="157"/>
      <c r="E582" s="67"/>
      <c r="I582" s="157"/>
      <c r="M582" s="157"/>
      <c r="Q582" s="157"/>
      <c r="U582" s="157"/>
      <c r="V582" s="67"/>
      <c r="Z582" s="157"/>
    </row>
    <row r="583">
      <c r="D583" s="157"/>
      <c r="E583" s="67"/>
      <c r="I583" s="157"/>
      <c r="M583" s="157"/>
      <c r="Q583" s="157"/>
      <c r="U583" s="157"/>
      <c r="V583" s="67"/>
      <c r="Z583" s="157"/>
    </row>
    <row r="584">
      <c r="D584" s="157"/>
      <c r="E584" s="67"/>
      <c r="I584" s="157"/>
      <c r="M584" s="157"/>
      <c r="Q584" s="157"/>
      <c r="U584" s="157"/>
      <c r="V584" s="67"/>
      <c r="Z584" s="157"/>
    </row>
    <row r="585">
      <c r="D585" s="157"/>
      <c r="E585" s="67"/>
      <c r="I585" s="157"/>
      <c r="M585" s="157"/>
      <c r="Q585" s="157"/>
      <c r="U585" s="157"/>
      <c r="V585" s="67"/>
      <c r="Z585" s="157"/>
    </row>
    <row r="586">
      <c r="D586" s="157"/>
      <c r="E586" s="67"/>
      <c r="I586" s="157"/>
      <c r="M586" s="157"/>
      <c r="Q586" s="157"/>
      <c r="U586" s="157"/>
      <c r="V586" s="67"/>
      <c r="Z586" s="157"/>
    </row>
    <row r="587">
      <c r="D587" s="157"/>
      <c r="E587" s="67"/>
      <c r="I587" s="157"/>
      <c r="M587" s="157"/>
      <c r="Q587" s="157"/>
      <c r="U587" s="157"/>
      <c r="V587" s="67"/>
      <c r="Z587" s="157"/>
    </row>
    <row r="588">
      <c r="D588" s="157"/>
      <c r="E588" s="67"/>
      <c r="I588" s="157"/>
      <c r="M588" s="157"/>
      <c r="Q588" s="157"/>
      <c r="U588" s="157"/>
      <c r="V588" s="67"/>
      <c r="Z588" s="157"/>
    </row>
    <row r="589">
      <c r="D589" s="157"/>
      <c r="E589" s="67"/>
      <c r="I589" s="157"/>
      <c r="M589" s="157"/>
      <c r="Q589" s="157"/>
      <c r="U589" s="157"/>
      <c r="V589" s="67"/>
      <c r="Z589" s="157"/>
    </row>
    <row r="590">
      <c r="D590" s="157"/>
      <c r="E590" s="67"/>
      <c r="I590" s="157"/>
      <c r="M590" s="157"/>
      <c r="Q590" s="157"/>
      <c r="U590" s="157"/>
      <c r="V590" s="67"/>
      <c r="Z590" s="157"/>
    </row>
    <row r="591">
      <c r="D591" s="157"/>
      <c r="E591" s="67"/>
      <c r="I591" s="157"/>
      <c r="M591" s="157"/>
      <c r="Q591" s="157"/>
      <c r="U591" s="157"/>
      <c r="V591" s="67"/>
      <c r="Z591" s="157"/>
    </row>
    <row r="592">
      <c r="D592" s="157"/>
      <c r="E592" s="67"/>
      <c r="I592" s="157"/>
      <c r="M592" s="157"/>
      <c r="Q592" s="157"/>
      <c r="U592" s="157"/>
      <c r="V592" s="67"/>
      <c r="Z592" s="157"/>
    </row>
    <row r="593">
      <c r="D593" s="157"/>
      <c r="E593" s="67"/>
      <c r="I593" s="157"/>
      <c r="M593" s="157"/>
      <c r="Q593" s="157"/>
      <c r="U593" s="157"/>
      <c r="V593" s="67"/>
      <c r="Z593" s="157"/>
    </row>
    <row r="594">
      <c r="D594" s="157"/>
      <c r="E594" s="67"/>
      <c r="I594" s="157"/>
      <c r="M594" s="157"/>
      <c r="Q594" s="157"/>
      <c r="U594" s="157"/>
      <c r="V594" s="67"/>
      <c r="Z594" s="157"/>
    </row>
    <row r="595">
      <c r="D595" s="157"/>
      <c r="E595" s="67"/>
      <c r="I595" s="157"/>
      <c r="M595" s="157"/>
      <c r="Q595" s="157"/>
      <c r="U595" s="157"/>
      <c r="V595" s="67"/>
      <c r="Z595" s="157"/>
    </row>
    <row r="596">
      <c r="D596" s="157"/>
      <c r="E596" s="67"/>
      <c r="I596" s="157"/>
      <c r="M596" s="157"/>
      <c r="Q596" s="157"/>
      <c r="U596" s="157"/>
      <c r="V596" s="67"/>
      <c r="Z596" s="157"/>
    </row>
    <row r="597">
      <c r="D597" s="157"/>
      <c r="E597" s="67"/>
      <c r="I597" s="157"/>
      <c r="M597" s="157"/>
      <c r="Q597" s="157"/>
      <c r="U597" s="157"/>
      <c r="V597" s="67"/>
      <c r="Z597" s="157"/>
    </row>
    <row r="598">
      <c r="D598" s="157"/>
      <c r="E598" s="67"/>
      <c r="I598" s="157"/>
      <c r="M598" s="157"/>
      <c r="Q598" s="157"/>
      <c r="U598" s="157"/>
      <c r="V598" s="67"/>
      <c r="Z598" s="157"/>
    </row>
    <row r="599">
      <c r="D599" s="157"/>
      <c r="E599" s="67"/>
      <c r="I599" s="157"/>
      <c r="M599" s="157"/>
      <c r="Q599" s="157"/>
      <c r="U599" s="157"/>
      <c r="V599" s="67"/>
      <c r="Z599" s="157"/>
    </row>
    <row r="600">
      <c r="D600" s="157"/>
      <c r="E600" s="67"/>
      <c r="I600" s="157"/>
      <c r="M600" s="157"/>
      <c r="Q600" s="157"/>
      <c r="U600" s="157"/>
      <c r="V600" s="67"/>
      <c r="Z600" s="157"/>
    </row>
    <row r="601">
      <c r="D601" s="157"/>
      <c r="E601" s="67"/>
      <c r="I601" s="157"/>
      <c r="M601" s="157"/>
      <c r="Q601" s="157"/>
      <c r="U601" s="157"/>
      <c r="V601" s="67"/>
      <c r="Z601" s="157"/>
    </row>
    <row r="602">
      <c r="D602" s="157"/>
      <c r="E602" s="67"/>
      <c r="I602" s="157"/>
      <c r="M602" s="157"/>
      <c r="Q602" s="157"/>
      <c r="U602" s="157"/>
      <c r="V602" s="67"/>
      <c r="Z602" s="157"/>
    </row>
    <row r="603">
      <c r="D603" s="157"/>
      <c r="E603" s="67"/>
      <c r="I603" s="157"/>
      <c r="M603" s="157"/>
      <c r="Q603" s="157"/>
      <c r="U603" s="157"/>
      <c r="V603" s="67"/>
      <c r="Z603" s="157"/>
    </row>
    <row r="604">
      <c r="D604" s="157"/>
      <c r="E604" s="67"/>
      <c r="I604" s="157"/>
      <c r="M604" s="157"/>
      <c r="Q604" s="157"/>
      <c r="U604" s="157"/>
      <c r="V604" s="67"/>
      <c r="Z604" s="157"/>
    </row>
    <row r="605">
      <c r="D605" s="157"/>
      <c r="E605" s="67"/>
      <c r="I605" s="157"/>
      <c r="M605" s="157"/>
      <c r="Q605" s="157"/>
      <c r="U605" s="157"/>
      <c r="V605" s="67"/>
      <c r="Z605" s="157"/>
    </row>
    <row r="606">
      <c r="D606" s="157"/>
      <c r="E606" s="67"/>
      <c r="I606" s="157"/>
      <c r="M606" s="157"/>
      <c r="Q606" s="157"/>
      <c r="U606" s="157"/>
      <c r="V606" s="67"/>
      <c r="Z606" s="157"/>
    </row>
    <row r="607">
      <c r="D607" s="157"/>
      <c r="E607" s="67"/>
      <c r="I607" s="157"/>
      <c r="M607" s="157"/>
      <c r="Q607" s="157"/>
      <c r="U607" s="157"/>
      <c r="V607" s="67"/>
      <c r="Z607" s="157"/>
    </row>
    <row r="608">
      <c r="D608" s="157"/>
      <c r="E608" s="67"/>
      <c r="I608" s="157"/>
      <c r="M608" s="157"/>
      <c r="Q608" s="157"/>
      <c r="U608" s="157"/>
      <c r="V608" s="67"/>
      <c r="Z608" s="157"/>
    </row>
    <row r="609">
      <c r="D609" s="157"/>
      <c r="E609" s="67"/>
      <c r="I609" s="157"/>
      <c r="M609" s="157"/>
      <c r="Q609" s="157"/>
      <c r="U609" s="157"/>
      <c r="V609" s="67"/>
      <c r="Z609" s="157"/>
    </row>
    <row r="610">
      <c r="D610" s="157"/>
      <c r="E610" s="67"/>
      <c r="I610" s="157"/>
      <c r="M610" s="157"/>
      <c r="Q610" s="157"/>
      <c r="U610" s="157"/>
      <c r="V610" s="67"/>
      <c r="Z610" s="157"/>
    </row>
    <row r="611">
      <c r="D611" s="157"/>
      <c r="E611" s="67"/>
      <c r="I611" s="157"/>
      <c r="M611" s="157"/>
      <c r="Q611" s="157"/>
      <c r="U611" s="157"/>
      <c r="V611" s="67"/>
      <c r="Z611" s="157"/>
    </row>
    <row r="612">
      <c r="D612" s="157"/>
      <c r="E612" s="67"/>
      <c r="I612" s="157"/>
      <c r="M612" s="157"/>
      <c r="Q612" s="157"/>
      <c r="U612" s="157"/>
      <c r="V612" s="67"/>
      <c r="Z612" s="157"/>
    </row>
    <row r="613">
      <c r="D613" s="157"/>
      <c r="E613" s="67"/>
      <c r="I613" s="157"/>
      <c r="M613" s="157"/>
      <c r="Q613" s="157"/>
      <c r="U613" s="157"/>
      <c r="V613" s="67"/>
      <c r="Z613" s="157"/>
    </row>
    <row r="614">
      <c r="D614" s="157"/>
      <c r="E614" s="67"/>
      <c r="I614" s="157"/>
      <c r="M614" s="157"/>
      <c r="Q614" s="157"/>
      <c r="U614" s="157"/>
      <c r="V614" s="67"/>
      <c r="Z614" s="157"/>
    </row>
    <row r="615">
      <c r="D615" s="157"/>
      <c r="E615" s="67"/>
      <c r="I615" s="157"/>
      <c r="M615" s="157"/>
      <c r="Q615" s="157"/>
      <c r="U615" s="157"/>
      <c r="V615" s="67"/>
      <c r="Z615" s="157"/>
    </row>
    <row r="616">
      <c r="D616" s="157"/>
      <c r="E616" s="67"/>
      <c r="I616" s="157"/>
      <c r="M616" s="157"/>
      <c r="Q616" s="157"/>
      <c r="U616" s="157"/>
      <c r="V616" s="67"/>
      <c r="Z616" s="157"/>
    </row>
    <row r="617">
      <c r="D617" s="157"/>
      <c r="E617" s="67"/>
      <c r="I617" s="157"/>
      <c r="M617" s="157"/>
      <c r="Q617" s="157"/>
      <c r="U617" s="157"/>
      <c r="V617" s="67"/>
      <c r="Z617" s="157"/>
    </row>
    <row r="618">
      <c r="D618" s="157"/>
      <c r="E618" s="67"/>
      <c r="I618" s="157"/>
      <c r="M618" s="157"/>
      <c r="Q618" s="157"/>
      <c r="U618" s="157"/>
      <c r="V618" s="67"/>
      <c r="Z618" s="157"/>
    </row>
    <row r="619">
      <c r="D619" s="157"/>
      <c r="E619" s="67"/>
      <c r="I619" s="157"/>
      <c r="M619" s="157"/>
      <c r="Q619" s="157"/>
      <c r="U619" s="157"/>
      <c r="V619" s="67"/>
      <c r="Z619" s="157"/>
    </row>
    <row r="620">
      <c r="D620" s="157"/>
      <c r="E620" s="67"/>
      <c r="I620" s="157"/>
      <c r="M620" s="157"/>
      <c r="Q620" s="157"/>
      <c r="U620" s="157"/>
      <c r="V620" s="67"/>
      <c r="Z620" s="157"/>
    </row>
    <row r="621">
      <c r="D621" s="157"/>
      <c r="E621" s="67"/>
      <c r="I621" s="157"/>
      <c r="M621" s="157"/>
      <c r="Q621" s="157"/>
      <c r="U621" s="157"/>
      <c r="V621" s="67"/>
      <c r="Z621" s="157"/>
    </row>
    <row r="622">
      <c r="D622" s="157"/>
      <c r="E622" s="67"/>
      <c r="I622" s="157"/>
      <c r="M622" s="157"/>
      <c r="Q622" s="157"/>
      <c r="U622" s="157"/>
      <c r="V622" s="67"/>
      <c r="Z622" s="157"/>
    </row>
    <row r="623">
      <c r="D623" s="157"/>
      <c r="E623" s="67"/>
      <c r="I623" s="157"/>
      <c r="M623" s="157"/>
      <c r="Q623" s="157"/>
      <c r="U623" s="157"/>
      <c r="V623" s="67"/>
      <c r="Z623" s="157"/>
    </row>
    <row r="624">
      <c r="D624" s="157"/>
      <c r="E624" s="67"/>
      <c r="I624" s="157"/>
      <c r="M624" s="157"/>
      <c r="Q624" s="157"/>
      <c r="U624" s="157"/>
      <c r="V624" s="67"/>
      <c r="Z624" s="157"/>
    </row>
    <row r="625">
      <c r="D625" s="157"/>
      <c r="E625" s="67"/>
      <c r="I625" s="157"/>
      <c r="M625" s="157"/>
      <c r="Q625" s="157"/>
      <c r="U625" s="157"/>
      <c r="V625" s="67"/>
      <c r="Z625" s="157"/>
    </row>
    <row r="626">
      <c r="D626" s="157"/>
      <c r="E626" s="67"/>
      <c r="I626" s="157"/>
      <c r="M626" s="157"/>
      <c r="Q626" s="157"/>
      <c r="U626" s="157"/>
      <c r="V626" s="67"/>
      <c r="Z626" s="157"/>
    </row>
    <row r="627">
      <c r="D627" s="157"/>
      <c r="E627" s="67"/>
      <c r="I627" s="157"/>
      <c r="M627" s="157"/>
      <c r="Q627" s="157"/>
      <c r="U627" s="157"/>
      <c r="V627" s="67"/>
      <c r="Z627" s="157"/>
    </row>
    <row r="628">
      <c r="D628" s="157"/>
      <c r="E628" s="67"/>
      <c r="I628" s="157"/>
      <c r="M628" s="157"/>
      <c r="Q628" s="157"/>
      <c r="U628" s="157"/>
      <c r="V628" s="67"/>
      <c r="Z628" s="157"/>
    </row>
    <row r="629">
      <c r="D629" s="157"/>
      <c r="E629" s="67"/>
      <c r="I629" s="157"/>
      <c r="M629" s="157"/>
      <c r="Q629" s="157"/>
      <c r="U629" s="157"/>
      <c r="V629" s="67"/>
      <c r="Z629" s="157"/>
    </row>
    <row r="630">
      <c r="D630" s="157"/>
      <c r="E630" s="67"/>
      <c r="I630" s="157"/>
      <c r="M630" s="157"/>
      <c r="Q630" s="157"/>
      <c r="U630" s="157"/>
      <c r="V630" s="67"/>
      <c r="Z630" s="157"/>
    </row>
    <row r="631">
      <c r="D631" s="157"/>
      <c r="E631" s="67"/>
      <c r="I631" s="157"/>
      <c r="M631" s="157"/>
      <c r="Q631" s="157"/>
      <c r="U631" s="157"/>
      <c r="V631" s="67"/>
      <c r="Z631" s="157"/>
    </row>
    <row r="632">
      <c r="D632" s="157"/>
      <c r="E632" s="67"/>
      <c r="I632" s="157"/>
      <c r="M632" s="157"/>
      <c r="Q632" s="157"/>
      <c r="U632" s="157"/>
      <c r="V632" s="67"/>
      <c r="Z632" s="157"/>
    </row>
    <row r="633">
      <c r="D633" s="157"/>
      <c r="E633" s="67"/>
      <c r="I633" s="157"/>
      <c r="M633" s="157"/>
      <c r="Q633" s="157"/>
      <c r="U633" s="157"/>
      <c r="V633" s="67"/>
      <c r="Z633" s="157"/>
    </row>
    <row r="634">
      <c r="D634" s="157"/>
      <c r="E634" s="67"/>
      <c r="I634" s="157"/>
      <c r="M634" s="157"/>
      <c r="Q634" s="157"/>
      <c r="U634" s="157"/>
      <c r="V634" s="67"/>
      <c r="Z634" s="157"/>
    </row>
    <row r="635">
      <c r="D635" s="157"/>
      <c r="E635" s="67"/>
      <c r="I635" s="157"/>
      <c r="M635" s="157"/>
      <c r="Q635" s="157"/>
      <c r="U635" s="157"/>
      <c r="V635" s="67"/>
      <c r="Z635" s="157"/>
    </row>
    <row r="636">
      <c r="D636" s="157"/>
      <c r="E636" s="67"/>
      <c r="I636" s="157"/>
      <c r="M636" s="157"/>
      <c r="Q636" s="157"/>
      <c r="U636" s="157"/>
      <c r="V636" s="67"/>
      <c r="Z636" s="157"/>
    </row>
    <row r="637">
      <c r="D637" s="157"/>
      <c r="E637" s="67"/>
      <c r="I637" s="157"/>
      <c r="M637" s="157"/>
      <c r="Q637" s="157"/>
      <c r="U637" s="157"/>
      <c r="V637" s="67"/>
      <c r="Z637" s="157"/>
    </row>
    <row r="638">
      <c r="D638" s="157"/>
      <c r="E638" s="67"/>
      <c r="I638" s="157"/>
      <c r="M638" s="157"/>
      <c r="Q638" s="157"/>
      <c r="U638" s="157"/>
      <c r="V638" s="67"/>
      <c r="Z638" s="157"/>
    </row>
    <row r="639">
      <c r="D639" s="157"/>
      <c r="E639" s="67"/>
      <c r="I639" s="157"/>
      <c r="M639" s="157"/>
      <c r="Q639" s="157"/>
      <c r="U639" s="157"/>
      <c r="V639" s="67"/>
      <c r="Z639" s="157"/>
    </row>
    <row r="640">
      <c r="D640" s="157"/>
      <c r="E640" s="67"/>
      <c r="I640" s="157"/>
      <c r="M640" s="157"/>
      <c r="Q640" s="157"/>
      <c r="U640" s="157"/>
      <c r="V640" s="67"/>
      <c r="Z640" s="157"/>
    </row>
    <row r="641">
      <c r="D641" s="157"/>
      <c r="E641" s="67"/>
      <c r="I641" s="157"/>
      <c r="M641" s="157"/>
      <c r="Q641" s="157"/>
      <c r="U641" s="157"/>
      <c r="V641" s="67"/>
      <c r="Z641" s="157"/>
    </row>
    <row r="642">
      <c r="D642" s="157"/>
      <c r="E642" s="67"/>
      <c r="I642" s="157"/>
      <c r="M642" s="157"/>
      <c r="Q642" s="157"/>
      <c r="U642" s="157"/>
      <c r="V642" s="67"/>
      <c r="Z642" s="157"/>
    </row>
    <row r="643">
      <c r="D643" s="157"/>
      <c r="E643" s="67"/>
      <c r="I643" s="157"/>
      <c r="M643" s="157"/>
      <c r="Q643" s="157"/>
      <c r="U643" s="157"/>
      <c r="V643" s="67"/>
      <c r="Z643" s="157"/>
    </row>
    <row r="644">
      <c r="D644" s="157"/>
      <c r="E644" s="67"/>
      <c r="I644" s="157"/>
      <c r="M644" s="157"/>
      <c r="Q644" s="157"/>
      <c r="U644" s="157"/>
      <c r="V644" s="67"/>
      <c r="Z644" s="157"/>
    </row>
    <row r="645">
      <c r="D645" s="157"/>
      <c r="E645" s="67"/>
      <c r="I645" s="157"/>
      <c r="M645" s="157"/>
      <c r="Q645" s="157"/>
      <c r="U645" s="157"/>
      <c r="V645" s="67"/>
      <c r="Z645" s="157"/>
    </row>
    <row r="646">
      <c r="D646" s="157"/>
      <c r="E646" s="67"/>
      <c r="I646" s="157"/>
      <c r="M646" s="157"/>
      <c r="Q646" s="157"/>
      <c r="U646" s="157"/>
      <c r="V646" s="67"/>
      <c r="Z646" s="157"/>
    </row>
    <row r="647">
      <c r="D647" s="157"/>
      <c r="E647" s="67"/>
      <c r="I647" s="157"/>
      <c r="M647" s="157"/>
      <c r="Q647" s="157"/>
      <c r="U647" s="157"/>
      <c r="V647" s="67"/>
      <c r="Z647" s="157"/>
    </row>
    <row r="648">
      <c r="D648" s="157"/>
      <c r="E648" s="67"/>
      <c r="I648" s="157"/>
      <c r="M648" s="157"/>
      <c r="Q648" s="157"/>
      <c r="U648" s="157"/>
      <c r="V648" s="67"/>
      <c r="Z648" s="157"/>
    </row>
    <row r="649">
      <c r="D649" s="157"/>
      <c r="E649" s="67"/>
      <c r="I649" s="157"/>
      <c r="M649" s="157"/>
      <c r="Q649" s="157"/>
      <c r="U649" s="157"/>
      <c r="V649" s="67"/>
      <c r="Z649" s="157"/>
    </row>
    <row r="650">
      <c r="D650" s="157"/>
      <c r="E650" s="67"/>
      <c r="I650" s="157"/>
      <c r="M650" s="157"/>
      <c r="Q650" s="157"/>
      <c r="U650" s="157"/>
      <c r="V650" s="67"/>
      <c r="Z650" s="157"/>
    </row>
    <row r="651">
      <c r="D651" s="157"/>
      <c r="E651" s="67"/>
      <c r="I651" s="157"/>
      <c r="M651" s="157"/>
      <c r="Q651" s="157"/>
      <c r="U651" s="157"/>
      <c r="V651" s="67"/>
      <c r="Z651" s="157"/>
    </row>
    <row r="652">
      <c r="D652" s="157"/>
      <c r="E652" s="67"/>
      <c r="I652" s="157"/>
      <c r="M652" s="157"/>
      <c r="Q652" s="157"/>
      <c r="U652" s="157"/>
      <c r="V652" s="67"/>
      <c r="Z652" s="157"/>
    </row>
    <row r="653">
      <c r="D653" s="157"/>
      <c r="E653" s="67"/>
      <c r="I653" s="157"/>
      <c r="M653" s="157"/>
      <c r="Q653" s="157"/>
      <c r="U653" s="157"/>
      <c r="V653" s="67"/>
      <c r="Z653" s="157"/>
    </row>
    <row r="654">
      <c r="D654" s="157"/>
      <c r="E654" s="67"/>
      <c r="I654" s="157"/>
      <c r="M654" s="157"/>
      <c r="Q654" s="157"/>
      <c r="U654" s="157"/>
      <c r="V654" s="67"/>
      <c r="Z654" s="157"/>
    </row>
    <row r="655">
      <c r="D655" s="157"/>
      <c r="E655" s="67"/>
      <c r="I655" s="157"/>
      <c r="M655" s="157"/>
      <c r="Q655" s="157"/>
      <c r="U655" s="157"/>
      <c r="V655" s="67"/>
      <c r="Z655" s="157"/>
    </row>
    <row r="656">
      <c r="D656" s="157"/>
      <c r="E656" s="67"/>
      <c r="I656" s="157"/>
      <c r="M656" s="157"/>
      <c r="Q656" s="157"/>
      <c r="U656" s="157"/>
      <c r="V656" s="67"/>
      <c r="Z656" s="157"/>
    </row>
    <row r="657">
      <c r="D657" s="157"/>
      <c r="E657" s="67"/>
      <c r="I657" s="157"/>
      <c r="M657" s="157"/>
      <c r="Q657" s="157"/>
      <c r="U657" s="157"/>
      <c r="V657" s="67"/>
      <c r="Z657" s="157"/>
    </row>
    <row r="658">
      <c r="D658" s="157"/>
      <c r="E658" s="67"/>
      <c r="I658" s="157"/>
      <c r="M658" s="157"/>
      <c r="Q658" s="157"/>
      <c r="U658" s="157"/>
      <c r="V658" s="67"/>
      <c r="Z658" s="157"/>
    </row>
    <row r="659">
      <c r="D659" s="157"/>
      <c r="E659" s="67"/>
      <c r="I659" s="157"/>
      <c r="M659" s="157"/>
      <c r="Q659" s="157"/>
      <c r="U659" s="157"/>
      <c r="V659" s="67"/>
      <c r="Z659" s="157"/>
    </row>
    <row r="660">
      <c r="D660" s="157"/>
      <c r="E660" s="67"/>
      <c r="I660" s="157"/>
      <c r="M660" s="157"/>
      <c r="Q660" s="157"/>
      <c r="U660" s="157"/>
      <c r="V660" s="67"/>
      <c r="Z660" s="157"/>
    </row>
    <row r="661">
      <c r="D661" s="157"/>
      <c r="E661" s="67"/>
      <c r="I661" s="157"/>
      <c r="M661" s="157"/>
      <c r="Q661" s="157"/>
      <c r="U661" s="157"/>
      <c r="V661" s="67"/>
      <c r="Z661" s="157"/>
    </row>
    <row r="662">
      <c r="D662" s="157"/>
      <c r="E662" s="67"/>
      <c r="I662" s="157"/>
      <c r="M662" s="157"/>
      <c r="Q662" s="157"/>
      <c r="U662" s="157"/>
      <c r="V662" s="67"/>
      <c r="Z662" s="157"/>
    </row>
    <row r="663">
      <c r="D663" s="157"/>
      <c r="E663" s="67"/>
      <c r="I663" s="157"/>
      <c r="M663" s="157"/>
      <c r="Q663" s="157"/>
      <c r="U663" s="157"/>
      <c r="V663" s="67"/>
      <c r="Z663" s="157"/>
    </row>
    <row r="664">
      <c r="D664" s="157"/>
      <c r="E664" s="67"/>
      <c r="I664" s="157"/>
      <c r="M664" s="157"/>
      <c r="Q664" s="157"/>
      <c r="U664" s="157"/>
      <c r="V664" s="67"/>
      <c r="Z664" s="157"/>
    </row>
    <row r="665">
      <c r="D665" s="157"/>
      <c r="E665" s="67"/>
      <c r="I665" s="157"/>
      <c r="M665" s="157"/>
      <c r="Q665" s="157"/>
      <c r="U665" s="157"/>
      <c r="V665" s="67"/>
      <c r="Z665" s="157"/>
    </row>
    <row r="666">
      <c r="D666" s="157"/>
      <c r="E666" s="67"/>
      <c r="I666" s="157"/>
      <c r="M666" s="157"/>
      <c r="Q666" s="157"/>
      <c r="U666" s="157"/>
      <c r="V666" s="67"/>
      <c r="Z666" s="157"/>
    </row>
    <row r="667">
      <c r="D667" s="157"/>
      <c r="E667" s="67"/>
      <c r="I667" s="157"/>
      <c r="M667" s="157"/>
      <c r="Q667" s="157"/>
      <c r="U667" s="157"/>
      <c r="V667" s="67"/>
      <c r="Z667" s="157"/>
    </row>
    <row r="668">
      <c r="D668" s="157"/>
      <c r="E668" s="67"/>
      <c r="I668" s="157"/>
      <c r="M668" s="157"/>
      <c r="Q668" s="157"/>
      <c r="U668" s="157"/>
      <c r="V668" s="67"/>
      <c r="Z668" s="157"/>
    </row>
    <row r="669">
      <c r="D669" s="157"/>
      <c r="E669" s="67"/>
      <c r="I669" s="157"/>
      <c r="M669" s="157"/>
      <c r="Q669" s="157"/>
      <c r="U669" s="157"/>
      <c r="V669" s="67"/>
      <c r="Z669" s="157"/>
    </row>
    <row r="670">
      <c r="D670" s="157"/>
      <c r="E670" s="67"/>
      <c r="I670" s="157"/>
      <c r="M670" s="157"/>
      <c r="Q670" s="157"/>
      <c r="U670" s="157"/>
      <c r="V670" s="67"/>
      <c r="Z670" s="157"/>
    </row>
    <row r="671">
      <c r="D671" s="157"/>
      <c r="E671" s="67"/>
      <c r="I671" s="157"/>
      <c r="M671" s="157"/>
      <c r="Q671" s="157"/>
      <c r="U671" s="157"/>
      <c r="V671" s="67"/>
      <c r="Z671" s="157"/>
    </row>
    <row r="672">
      <c r="D672" s="157"/>
      <c r="E672" s="67"/>
      <c r="I672" s="157"/>
      <c r="M672" s="157"/>
      <c r="Q672" s="157"/>
      <c r="U672" s="157"/>
      <c r="V672" s="67"/>
      <c r="Z672" s="157"/>
    </row>
    <row r="673">
      <c r="D673" s="157"/>
      <c r="E673" s="67"/>
      <c r="I673" s="157"/>
      <c r="M673" s="157"/>
      <c r="Q673" s="157"/>
      <c r="U673" s="157"/>
      <c r="V673" s="67"/>
      <c r="Z673" s="157"/>
    </row>
    <row r="674">
      <c r="D674" s="157"/>
      <c r="E674" s="67"/>
      <c r="I674" s="157"/>
      <c r="M674" s="157"/>
      <c r="Q674" s="157"/>
      <c r="U674" s="157"/>
      <c r="V674" s="67"/>
      <c r="Z674" s="157"/>
    </row>
    <row r="675">
      <c r="D675" s="157"/>
      <c r="E675" s="67"/>
      <c r="I675" s="157"/>
      <c r="M675" s="157"/>
      <c r="Q675" s="157"/>
      <c r="U675" s="157"/>
      <c r="V675" s="67"/>
      <c r="Z675" s="157"/>
    </row>
    <row r="676">
      <c r="D676" s="157"/>
      <c r="E676" s="67"/>
      <c r="I676" s="157"/>
      <c r="M676" s="157"/>
      <c r="Q676" s="157"/>
      <c r="U676" s="157"/>
      <c r="V676" s="67"/>
      <c r="Z676" s="157"/>
    </row>
    <row r="677">
      <c r="D677" s="157"/>
      <c r="E677" s="67"/>
      <c r="I677" s="157"/>
      <c r="M677" s="157"/>
      <c r="Q677" s="157"/>
      <c r="U677" s="157"/>
      <c r="V677" s="67"/>
      <c r="Z677" s="157"/>
    </row>
    <row r="678">
      <c r="D678" s="157"/>
      <c r="E678" s="67"/>
      <c r="I678" s="157"/>
      <c r="M678" s="157"/>
      <c r="Q678" s="157"/>
      <c r="U678" s="157"/>
      <c r="V678" s="67"/>
      <c r="Z678" s="157"/>
    </row>
    <row r="679">
      <c r="D679" s="157"/>
      <c r="E679" s="67"/>
      <c r="I679" s="157"/>
      <c r="M679" s="157"/>
      <c r="Q679" s="157"/>
      <c r="U679" s="157"/>
      <c r="V679" s="67"/>
      <c r="Z679" s="157"/>
    </row>
    <row r="680">
      <c r="D680" s="157"/>
      <c r="E680" s="67"/>
      <c r="I680" s="157"/>
      <c r="M680" s="157"/>
      <c r="Q680" s="157"/>
      <c r="U680" s="157"/>
      <c r="V680" s="67"/>
      <c r="Z680" s="157"/>
    </row>
    <row r="681">
      <c r="D681" s="157"/>
      <c r="E681" s="67"/>
      <c r="I681" s="157"/>
      <c r="M681" s="157"/>
      <c r="Q681" s="157"/>
      <c r="U681" s="157"/>
      <c r="V681" s="67"/>
      <c r="Z681" s="157"/>
    </row>
    <row r="682">
      <c r="D682" s="157"/>
      <c r="E682" s="67"/>
      <c r="I682" s="157"/>
      <c r="M682" s="157"/>
      <c r="Q682" s="157"/>
      <c r="U682" s="157"/>
      <c r="V682" s="67"/>
      <c r="Z682" s="157"/>
    </row>
    <row r="683">
      <c r="D683" s="157"/>
      <c r="E683" s="67"/>
      <c r="I683" s="157"/>
      <c r="M683" s="157"/>
      <c r="Q683" s="157"/>
      <c r="U683" s="157"/>
      <c r="V683" s="67"/>
      <c r="Z683" s="157"/>
    </row>
    <row r="684">
      <c r="D684" s="157"/>
      <c r="E684" s="67"/>
      <c r="I684" s="157"/>
      <c r="M684" s="157"/>
      <c r="Q684" s="157"/>
      <c r="U684" s="157"/>
      <c r="V684" s="67"/>
      <c r="Z684" s="157"/>
    </row>
    <row r="685">
      <c r="D685" s="157"/>
      <c r="E685" s="67"/>
      <c r="I685" s="157"/>
      <c r="M685" s="157"/>
      <c r="Q685" s="157"/>
      <c r="U685" s="157"/>
      <c r="V685" s="67"/>
      <c r="Z685" s="157"/>
    </row>
    <row r="686">
      <c r="D686" s="157"/>
      <c r="E686" s="67"/>
      <c r="I686" s="157"/>
      <c r="M686" s="157"/>
      <c r="Q686" s="157"/>
      <c r="U686" s="157"/>
      <c r="V686" s="67"/>
      <c r="Z686" s="157"/>
    </row>
    <row r="687">
      <c r="D687" s="157"/>
      <c r="E687" s="67"/>
      <c r="I687" s="157"/>
      <c r="M687" s="157"/>
      <c r="Q687" s="157"/>
      <c r="U687" s="157"/>
      <c r="V687" s="67"/>
      <c r="Z687" s="157"/>
    </row>
    <row r="688">
      <c r="D688" s="157"/>
      <c r="E688" s="67"/>
      <c r="I688" s="157"/>
      <c r="M688" s="157"/>
      <c r="Q688" s="157"/>
      <c r="U688" s="157"/>
      <c r="V688" s="67"/>
      <c r="Z688" s="157"/>
    </row>
    <row r="689">
      <c r="D689" s="157"/>
      <c r="E689" s="67"/>
      <c r="I689" s="157"/>
      <c r="M689" s="157"/>
      <c r="Q689" s="157"/>
      <c r="U689" s="157"/>
      <c r="V689" s="67"/>
      <c r="Z689" s="157"/>
    </row>
    <row r="690">
      <c r="D690" s="157"/>
      <c r="E690" s="67"/>
      <c r="I690" s="157"/>
      <c r="M690" s="157"/>
      <c r="Q690" s="157"/>
      <c r="U690" s="157"/>
      <c r="V690" s="67"/>
      <c r="Z690" s="157"/>
    </row>
    <row r="691">
      <c r="D691" s="157"/>
      <c r="E691" s="67"/>
      <c r="I691" s="157"/>
      <c r="M691" s="157"/>
      <c r="Q691" s="157"/>
      <c r="U691" s="157"/>
      <c r="V691" s="67"/>
      <c r="Z691" s="157"/>
    </row>
    <row r="692">
      <c r="D692" s="157"/>
      <c r="E692" s="67"/>
      <c r="I692" s="157"/>
      <c r="M692" s="157"/>
      <c r="Q692" s="157"/>
      <c r="U692" s="157"/>
      <c r="V692" s="67"/>
      <c r="Z692" s="157"/>
    </row>
    <row r="693">
      <c r="D693" s="157"/>
      <c r="E693" s="67"/>
      <c r="I693" s="157"/>
      <c r="M693" s="157"/>
      <c r="Q693" s="157"/>
      <c r="U693" s="157"/>
      <c r="V693" s="67"/>
      <c r="Z693" s="157"/>
    </row>
    <row r="694">
      <c r="D694" s="157"/>
      <c r="E694" s="67"/>
      <c r="I694" s="157"/>
      <c r="M694" s="157"/>
      <c r="Q694" s="157"/>
      <c r="U694" s="157"/>
      <c r="V694" s="67"/>
      <c r="Z694" s="157"/>
    </row>
    <row r="695">
      <c r="D695" s="157"/>
      <c r="E695" s="67"/>
      <c r="I695" s="157"/>
      <c r="M695" s="157"/>
      <c r="Q695" s="157"/>
      <c r="U695" s="157"/>
      <c r="V695" s="67"/>
      <c r="Z695" s="157"/>
    </row>
    <row r="696">
      <c r="D696" s="157"/>
      <c r="E696" s="67"/>
      <c r="I696" s="157"/>
      <c r="M696" s="157"/>
      <c r="Q696" s="157"/>
      <c r="U696" s="157"/>
      <c r="V696" s="67"/>
      <c r="Z696" s="157"/>
    </row>
    <row r="697">
      <c r="D697" s="157"/>
      <c r="E697" s="67"/>
      <c r="I697" s="157"/>
      <c r="M697" s="157"/>
      <c r="Q697" s="157"/>
      <c r="U697" s="157"/>
      <c r="V697" s="67"/>
      <c r="Z697" s="157"/>
    </row>
    <row r="698">
      <c r="D698" s="157"/>
      <c r="E698" s="67"/>
      <c r="I698" s="157"/>
      <c r="M698" s="157"/>
      <c r="Q698" s="157"/>
      <c r="U698" s="157"/>
      <c r="V698" s="67"/>
      <c r="Z698" s="157"/>
    </row>
    <row r="699">
      <c r="D699" s="157"/>
      <c r="E699" s="67"/>
      <c r="I699" s="157"/>
      <c r="M699" s="157"/>
      <c r="Q699" s="157"/>
      <c r="U699" s="157"/>
      <c r="V699" s="67"/>
      <c r="Z699" s="157"/>
    </row>
    <row r="700">
      <c r="D700" s="157"/>
      <c r="E700" s="67"/>
      <c r="I700" s="157"/>
      <c r="M700" s="157"/>
      <c r="Q700" s="157"/>
      <c r="U700" s="157"/>
      <c r="V700" s="67"/>
      <c r="Z700" s="157"/>
    </row>
    <row r="701">
      <c r="D701" s="157"/>
      <c r="E701" s="67"/>
      <c r="I701" s="157"/>
      <c r="M701" s="157"/>
      <c r="Q701" s="157"/>
      <c r="U701" s="157"/>
      <c r="V701" s="67"/>
      <c r="Z701" s="157"/>
    </row>
    <row r="702">
      <c r="D702" s="157"/>
      <c r="E702" s="67"/>
      <c r="I702" s="157"/>
      <c r="M702" s="157"/>
      <c r="Q702" s="157"/>
      <c r="U702" s="157"/>
      <c r="V702" s="67"/>
      <c r="Z702" s="157"/>
    </row>
    <row r="703">
      <c r="D703" s="157"/>
      <c r="E703" s="67"/>
      <c r="I703" s="157"/>
      <c r="M703" s="157"/>
      <c r="Q703" s="157"/>
      <c r="U703" s="157"/>
      <c r="V703" s="67"/>
      <c r="Z703" s="157"/>
    </row>
    <row r="704">
      <c r="D704" s="157"/>
      <c r="E704" s="67"/>
      <c r="I704" s="157"/>
      <c r="M704" s="157"/>
      <c r="Q704" s="157"/>
      <c r="U704" s="157"/>
      <c r="V704" s="67"/>
      <c r="Z704" s="157"/>
    </row>
    <row r="705">
      <c r="D705" s="157"/>
      <c r="E705" s="67"/>
      <c r="I705" s="157"/>
      <c r="M705" s="157"/>
      <c r="Q705" s="157"/>
      <c r="U705" s="157"/>
      <c r="V705" s="67"/>
      <c r="Z705" s="157"/>
    </row>
    <row r="706">
      <c r="D706" s="157"/>
      <c r="E706" s="67"/>
      <c r="I706" s="157"/>
      <c r="M706" s="157"/>
      <c r="Q706" s="157"/>
      <c r="U706" s="157"/>
      <c r="V706" s="67"/>
      <c r="Z706" s="157"/>
    </row>
    <row r="707">
      <c r="D707" s="157"/>
      <c r="E707" s="67"/>
      <c r="I707" s="157"/>
      <c r="M707" s="157"/>
      <c r="Q707" s="157"/>
      <c r="U707" s="157"/>
      <c r="V707" s="67"/>
      <c r="Z707" s="157"/>
    </row>
    <row r="708">
      <c r="D708" s="157"/>
      <c r="E708" s="67"/>
      <c r="I708" s="157"/>
      <c r="M708" s="157"/>
      <c r="Q708" s="157"/>
      <c r="U708" s="157"/>
      <c r="V708" s="67"/>
      <c r="Z708" s="157"/>
    </row>
    <row r="709">
      <c r="D709" s="157"/>
      <c r="E709" s="67"/>
      <c r="I709" s="157"/>
      <c r="M709" s="157"/>
      <c r="Q709" s="157"/>
      <c r="U709" s="157"/>
      <c r="V709" s="67"/>
      <c r="Z709" s="157"/>
    </row>
    <row r="710">
      <c r="D710" s="157"/>
      <c r="E710" s="67"/>
      <c r="I710" s="157"/>
      <c r="M710" s="157"/>
      <c r="Q710" s="157"/>
      <c r="U710" s="157"/>
      <c r="V710" s="67"/>
      <c r="Z710" s="157"/>
    </row>
    <row r="711">
      <c r="D711" s="157"/>
      <c r="E711" s="67"/>
      <c r="I711" s="157"/>
      <c r="M711" s="157"/>
      <c r="Q711" s="157"/>
      <c r="U711" s="157"/>
      <c r="V711" s="67"/>
      <c r="Z711" s="157"/>
    </row>
    <row r="712">
      <c r="D712" s="157"/>
      <c r="E712" s="67"/>
      <c r="I712" s="157"/>
      <c r="M712" s="157"/>
      <c r="Q712" s="157"/>
      <c r="U712" s="157"/>
      <c r="V712" s="67"/>
      <c r="Z712" s="157"/>
    </row>
    <row r="713">
      <c r="D713" s="157"/>
      <c r="E713" s="67"/>
      <c r="I713" s="157"/>
      <c r="M713" s="157"/>
      <c r="Q713" s="157"/>
      <c r="U713" s="157"/>
      <c r="V713" s="67"/>
      <c r="Z713" s="157"/>
    </row>
    <row r="714">
      <c r="D714" s="157"/>
      <c r="E714" s="67"/>
      <c r="I714" s="157"/>
      <c r="M714" s="157"/>
      <c r="Q714" s="157"/>
      <c r="U714" s="157"/>
      <c r="V714" s="67"/>
      <c r="Z714" s="157"/>
    </row>
    <row r="715">
      <c r="D715" s="157"/>
      <c r="E715" s="67"/>
      <c r="I715" s="157"/>
      <c r="M715" s="157"/>
      <c r="Q715" s="157"/>
      <c r="U715" s="157"/>
      <c r="V715" s="67"/>
      <c r="Z715" s="157"/>
    </row>
    <row r="716">
      <c r="D716" s="157"/>
      <c r="E716" s="67"/>
      <c r="I716" s="157"/>
      <c r="M716" s="157"/>
      <c r="Q716" s="157"/>
      <c r="U716" s="157"/>
      <c r="V716" s="67"/>
      <c r="Z716" s="157"/>
    </row>
    <row r="717">
      <c r="D717" s="157"/>
      <c r="E717" s="67"/>
      <c r="I717" s="157"/>
      <c r="M717" s="157"/>
      <c r="Q717" s="157"/>
      <c r="U717" s="157"/>
      <c r="V717" s="67"/>
      <c r="Z717" s="157"/>
    </row>
    <row r="718">
      <c r="D718" s="157"/>
      <c r="E718" s="67"/>
      <c r="I718" s="157"/>
      <c r="M718" s="157"/>
      <c r="Q718" s="157"/>
      <c r="U718" s="157"/>
      <c r="V718" s="67"/>
      <c r="Z718" s="157"/>
    </row>
    <row r="719">
      <c r="D719" s="157"/>
      <c r="E719" s="67"/>
      <c r="I719" s="157"/>
      <c r="M719" s="157"/>
      <c r="Q719" s="157"/>
      <c r="U719" s="157"/>
      <c r="V719" s="67"/>
      <c r="Z719" s="157"/>
    </row>
    <row r="720">
      <c r="D720" s="157"/>
      <c r="E720" s="67"/>
      <c r="I720" s="157"/>
      <c r="M720" s="157"/>
      <c r="Q720" s="157"/>
      <c r="U720" s="157"/>
      <c r="V720" s="67"/>
      <c r="Z720" s="157"/>
    </row>
    <row r="721">
      <c r="D721" s="157"/>
      <c r="E721" s="67"/>
      <c r="I721" s="157"/>
      <c r="M721" s="157"/>
      <c r="Q721" s="157"/>
      <c r="U721" s="157"/>
      <c r="V721" s="67"/>
      <c r="Z721" s="157"/>
    </row>
    <row r="722">
      <c r="D722" s="157"/>
      <c r="E722" s="67"/>
      <c r="I722" s="157"/>
      <c r="M722" s="157"/>
      <c r="Q722" s="157"/>
      <c r="U722" s="157"/>
      <c r="V722" s="67"/>
      <c r="Z722" s="157"/>
    </row>
    <row r="723">
      <c r="D723" s="157"/>
      <c r="E723" s="67"/>
      <c r="I723" s="157"/>
      <c r="M723" s="157"/>
      <c r="Q723" s="157"/>
      <c r="U723" s="157"/>
      <c r="V723" s="67"/>
      <c r="Z723" s="157"/>
    </row>
    <row r="724">
      <c r="D724" s="157"/>
      <c r="E724" s="67"/>
      <c r="I724" s="157"/>
      <c r="M724" s="157"/>
      <c r="Q724" s="157"/>
      <c r="U724" s="157"/>
      <c r="V724" s="67"/>
      <c r="Z724" s="157"/>
    </row>
    <row r="725">
      <c r="D725" s="157"/>
      <c r="E725" s="67"/>
      <c r="I725" s="157"/>
      <c r="M725" s="157"/>
      <c r="Q725" s="157"/>
      <c r="U725" s="157"/>
      <c r="V725" s="67"/>
      <c r="Z725" s="157"/>
    </row>
    <row r="726">
      <c r="D726" s="157"/>
      <c r="E726" s="67"/>
      <c r="I726" s="157"/>
      <c r="M726" s="157"/>
      <c r="Q726" s="157"/>
      <c r="U726" s="157"/>
      <c r="V726" s="67"/>
      <c r="Z726" s="157"/>
    </row>
    <row r="727">
      <c r="D727" s="157"/>
      <c r="E727" s="67"/>
      <c r="I727" s="157"/>
      <c r="M727" s="157"/>
      <c r="Q727" s="157"/>
      <c r="U727" s="157"/>
      <c r="V727" s="67"/>
      <c r="Z727" s="157"/>
    </row>
    <row r="728">
      <c r="D728" s="157"/>
      <c r="E728" s="67"/>
      <c r="I728" s="157"/>
      <c r="M728" s="157"/>
      <c r="Q728" s="157"/>
      <c r="U728" s="157"/>
      <c r="V728" s="67"/>
      <c r="Z728" s="157"/>
    </row>
    <row r="729">
      <c r="D729" s="157"/>
      <c r="E729" s="67"/>
      <c r="I729" s="157"/>
      <c r="M729" s="157"/>
      <c r="Q729" s="157"/>
      <c r="U729" s="157"/>
      <c r="V729" s="67"/>
      <c r="Z729" s="157"/>
    </row>
    <row r="730">
      <c r="D730" s="157"/>
      <c r="E730" s="67"/>
      <c r="I730" s="157"/>
      <c r="M730" s="157"/>
      <c r="Q730" s="157"/>
      <c r="U730" s="157"/>
      <c r="V730" s="67"/>
      <c r="Z730" s="157"/>
    </row>
    <row r="731">
      <c r="D731" s="157"/>
      <c r="E731" s="67"/>
      <c r="I731" s="157"/>
      <c r="M731" s="157"/>
      <c r="Q731" s="157"/>
      <c r="U731" s="157"/>
      <c r="V731" s="67"/>
      <c r="Z731" s="157"/>
    </row>
    <row r="732">
      <c r="D732" s="157"/>
      <c r="E732" s="67"/>
      <c r="I732" s="157"/>
      <c r="M732" s="157"/>
      <c r="Q732" s="157"/>
      <c r="U732" s="157"/>
      <c r="V732" s="67"/>
      <c r="Z732" s="157"/>
    </row>
    <row r="733">
      <c r="D733" s="157"/>
      <c r="E733" s="67"/>
      <c r="I733" s="157"/>
      <c r="M733" s="157"/>
      <c r="Q733" s="157"/>
      <c r="U733" s="157"/>
      <c r="V733" s="67"/>
      <c r="Z733" s="157"/>
    </row>
    <row r="734">
      <c r="D734" s="157"/>
      <c r="E734" s="67"/>
      <c r="I734" s="157"/>
      <c r="M734" s="157"/>
      <c r="Q734" s="157"/>
      <c r="U734" s="157"/>
      <c r="V734" s="67"/>
      <c r="Z734" s="157"/>
    </row>
    <row r="735">
      <c r="D735" s="157"/>
      <c r="E735" s="67"/>
      <c r="I735" s="157"/>
      <c r="M735" s="157"/>
      <c r="Q735" s="157"/>
      <c r="U735" s="157"/>
      <c r="V735" s="67"/>
      <c r="Z735" s="157"/>
    </row>
    <row r="736">
      <c r="D736" s="157"/>
      <c r="E736" s="67"/>
      <c r="I736" s="157"/>
      <c r="M736" s="157"/>
      <c r="Q736" s="157"/>
      <c r="U736" s="157"/>
      <c r="V736" s="67"/>
      <c r="Z736" s="157"/>
    </row>
    <row r="737">
      <c r="D737" s="157"/>
      <c r="E737" s="67"/>
      <c r="I737" s="157"/>
      <c r="M737" s="157"/>
      <c r="Q737" s="157"/>
      <c r="U737" s="157"/>
      <c r="V737" s="67"/>
      <c r="Z737" s="157"/>
    </row>
    <row r="738">
      <c r="D738" s="157"/>
      <c r="E738" s="67"/>
      <c r="I738" s="157"/>
      <c r="M738" s="157"/>
      <c r="Q738" s="157"/>
      <c r="U738" s="157"/>
      <c r="V738" s="67"/>
      <c r="Z738" s="157"/>
    </row>
    <row r="739">
      <c r="D739" s="157"/>
      <c r="E739" s="67"/>
      <c r="I739" s="157"/>
      <c r="M739" s="157"/>
      <c r="Q739" s="157"/>
      <c r="U739" s="157"/>
      <c r="V739" s="67"/>
      <c r="Z739" s="157"/>
    </row>
    <row r="740">
      <c r="D740" s="157"/>
      <c r="E740" s="67"/>
      <c r="I740" s="157"/>
      <c r="M740" s="157"/>
      <c r="Q740" s="157"/>
      <c r="U740" s="157"/>
      <c r="V740" s="67"/>
      <c r="Z740" s="157"/>
    </row>
    <row r="741">
      <c r="D741" s="157"/>
      <c r="E741" s="67"/>
      <c r="I741" s="157"/>
      <c r="M741" s="157"/>
      <c r="Q741" s="157"/>
      <c r="U741" s="157"/>
      <c r="V741" s="67"/>
      <c r="Z741" s="157"/>
    </row>
    <row r="742">
      <c r="D742" s="157"/>
      <c r="E742" s="67"/>
      <c r="I742" s="157"/>
      <c r="M742" s="157"/>
      <c r="Q742" s="157"/>
      <c r="U742" s="157"/>
      <c r="V742" s="67"/>
      <c r="Z742" s="157"/>
    </row>
    <row r="743">
      <c r="D743" s="157"/>
      <c r="E743" s="67"/>
      <c r="I743" s="157"/>
      <c r="M743" s="157"/>
      <c r="Q743" s="157"/>
      <c r="U743" s="157"/>
      <c r="V743" s="67"/>
      <c r="Z743" s="157"/>
    </row>
    <row r="744">
      <c r="D744" s="157"/>
      <c r="E744" s="67"/>
      <c r="I744" s="157"/>
      <c r="M744" s="157"/>
      <c r="Q744" s="157"/>
      <c r="U744" s="157"/>
      <c r="V744" s="67"/>
      <c r="Z744" s="157"/>
    </row>
    <row r="745">
      <c r="D745" s="157"/>
      <c r="E745" s="67"/>
      <c r="I745" s="157"/>
      <c r="M745" s="157"/>
      <c r="Q745" s="157"/>
      <c r="U745" s="157"/>
      <c r="V745" s="67"/>
      <c r="Z745" s="157"/>
    </row>
    <row r="746">
      <c r="D746" s="157"/>
      <c r="E746" s="67"/>
      <c r="I746" s="157"/>
      <c r="M746" s="157"/>
      <c r="Q746" s="157"/>
      <c r="U746" s="157"/>
      <c r="V746" s="67"/>
      <c r="Z746" s="157"/>
    </row>
    <row r="747">
      <c r="D747" s="157"/>
      <c r="E747" s="67"/>
      <c r="I747" s="157"/>
      <c r="M747" s="157"/>
      <c r="Q747" s="157"/>
      <c r="U747" s="157"/>
      <c r="V747" s="67"/>
      <c r="Z747" s="157"/>
    </row>
    <row r="748">
      <c r="D748" s="157"/>
      <c r="E748" s="67"/>
      <c r="I748" s="157"/>
      <c r="M748" s="157"/>
      <c r="Q748" s="157"/>
      <c r="U748" s="157"/>
      <c r="V748" s="67"/>
      <c r="Z748" s="157"/>
    </row>
    <row r="749">
      <c r="D749" s="157"/>
      <c r="E749" s="67"/>
      <c r="I749" s="157"/>
      <c r="M749" s="157"/>
      <c r="Q749" s="157"/>
      <c r="U749" s="157"/>
      <c r="V749" s="67"/>
      <c r="Z749" s="157"/>
    </row>
    <row r="750">
      <c r="D750" s="157"/>
      <c r="E750" s="67"/>
      <c r="I750" s="157"/>
      <c r="M750" s="157"/>
      <c r="Q750" s="157"/>
      <c r="U750" s="157"/>
      <c r="V750" s="67"/>
      <c r="Z750" s="157"/>
    </row>
    <row r="751">
      <c r="D751" s="157"/>
      <c r="E751" s="67"/>
      <c r="I751" s="157"/>
      <c r="M751" s="157"/>
      <c r="Q751" s="157"/>
      <c r="U751" s="157"/>
      <c r="V751" s="67"/>
      <c r="Z751" s="157"/>
    </row>
    <row r="752">
      <c r="D752" s="157"/>
      <c r="E752" s="67"/>
      <c r="I752" s="157"/>
      <c r="M752" s="157"/>
      <c r="Q752" s="157"/>
      <c r="U752" s="157"/>
      <c r="V752" s="67"/>
      <c r="Z752" s="157"/>
    </row>
    <row r="753">
      <c r="D753" s="157"/>
      <c r="E753" s="67"/>
      <c r="I753" s="157"/>
      <c r="M753" s="157"/>
      <c r="Q753" s="157"/>
      <c r="U753" s="157"/>
      <c r="V753" s="67"/>
      <c r="Z753" s="157"/>
    </row>
    <row r="754">
      <c r="D754" s="157"/>
      <c r="E754" s="67"/>
      <c r="I754" s="157"/>
      <c r="M754" s="157"/>
      <c r="Q754" s="157"/>
      <c r="U754" s="157"/>
      <c r="V754" s="67"/>
      <c r="Z754" s="157"/>
    </row>
    <row r="755">
      <c r="D755" s="157"/>
      <c r="E755" s="67"/>
      <c r="I755" s="157"/>
      <c r="M755" s="157"/>
      <c r="Q755" s="157"/>
      <c r="U755" s="157"/>
      <c r="V755" s="67"/>
      <c r="Z755" s="157"/>
    </row>
    <row r="756">
      <c r="D756" s="157"/>
      <c r="E756" s="67"/>
      <c r="I756" s="157"/>
      <c r="M756" s="157"/>
      <c r="Q756" s="157"/>
      <c r="U756" s="157"/>
      <c r="V756" s="67"/>
      <c r="Z756" s="157"/>
    </row>
    <row r="757">
      <c r="D757" s="157"/>
      <c r="E757" s="67"/>
      <c r="I757" s="157"/>
      <c r="M757" s="157"/>
      <c r="Q757" s="157"/>
      <c r="U757" s="157"/>
      <c r="V757" s="67"/>
      <c r="Z757" s="157"/>
    </row>
    <row r="758">
      <c r="D758" s="157"/>
      <c r="E758" s="67"/>
      <c r="I758" s="157"/>
      <c r="M758" s="157"/>
      <c r="Q758" s="157"/>
      <c r="U758" s="157"/>
      <c r="V758" s="67"/>
      <c r="Z758" s="157"/>
    </row>
    <row r="759">
      <c r="D759" s="157"/>
      <c r="E759" s="67"/>
      <c r="I759" s="157"/>
      <c r="M759" s="157"/>
      <c r="Q759" s="157"/>
      <c r="U759" s="157"/>
      <c r="V759" s="67"/>
      <c r="Z759" s="157"/>
    </row>
    <row r="760">
      <c r="D760" s="157"/>
      <c r="E760" s="67"/>
      <c r="I760" s="157"/>
      <c r="M760" s="157"/>
      <c r="Q760" s="157"/>
      <c r="U760" s="157"/>
      <c r="V760" s="67"/>
      <c r="Z760" s="157"/>
    </row>
    <row r="761">
      <c r="D761" s="157"/>
      <c r="E761" s="67"/>
      <c r="I761" s="157"/>
      <c r="M761" s="157"/>
      <c r="Q761" s="157"/>
      <c r="U761" s="157"/>
      <c r="V761" s="67"/>
      <c r="Z761" s="157"/>
    </row>
    <row r="762">
      <c r="D762" s="157"/>
      <c r="E762" s="67"/>
      <c r="I762" s="157"/>
      <c r="M762" s="157"/>
      <c r="Q762" s="157"/>
      <c r="U762" s="157"/>
      <c r="V762" s="67"/>
      <c r="Z762" s="157"/>
    </row>
    <row r="763">
      <c r="D763" s="157"/>
      <c r="E763" s="67"/>
      <c r="I763" s="157"/>
      <c r="M763" s="157"/>
      <c r="Q763" s="157"/>
      <c r="U763" s="157"/>
      <c r="V763" s="67"/>
      <c r="Z763" s="157"/>
    </row>
    <row r="764">
      <c r="D764" s="157"/>
      <c r="E764" s="67"/>
      <c r="I764" s="157"/>
      <c r="M764" s="157"/>
      <c r="Q764" s="157"/>
      <c r="U764" s="157"/>
      <c r="V764" s="67"/>
      <c r="Z764" s="157"/>
    </row>
    <row r="765">
      <c r="D765" s="157"/>
      <c r="E765" s="67"/>
      <c r="I765" s="157"/>
      <c r="M765" s="157"/>
      <c r="Q765" s="157"/>
      <c r="U765" s="157"/>
      <c r="V765" s="67"/>
      <c r="Z765" s="157"/>
    </row>
    <row r="766">
      <c r="D766" s="157"/>
      <c r="E766" s="67"/>
      <c r="I766" s="157"/>
      <c r="M766" s="157"/>
      <c r="Q766" s="157"/>
      <c r="U766" s="157"/>
      <c r="V766" s="67"/>
      <c r="Z766" s="157"/>
    </row>
    <row r="767">
      <c r="D767" s="157"/>
      <c r="E767" s="67"/>
      <c r="I767" s="157"/>
      <c r="M767" s="157"/>
      <c r="Q767" s="157"/>
      <c r="U767" s="157"/>
      <c r="V767" s="67"/>
      <c r="Z767" s="157"/>
    </row>
    <row r="768">
      <c r="D768" s="157"/>
      <c r="E768" s="67"/>
      <c r="I768" s="157"/>
      <c r="M768" s="157"/>
      <c r="Q768" s="157"/>
      <c r="U768" s="157"/>
      <c r="V768" s="67"/>
      <c r="Z768" s="157"/>
    </row>
    <row r="769">
      <c r="D769" s="157"/>
      <c r="E769" s="67"/>
      <c r="I769" s="157"/>
      <c r="M769" s="157"/>
      <c r="Q769" s="157"/>
      <c r="U769" s="157"/>
      <c r="V769" s="67"/>
      <c r="Z769" s="157"/>
    </row>
    <row r="770">
      <c r="D770" s="157"/>
      <c r="E770" s="67"/>
      <c r="I770" s="157"/>
      <c r="M770" s="157"/>
      <c r="Q770" s="157"/>
      <c r="U770" s="157"/>
      <c r="V770" s="67"/>
      <c r="Z770" s="157"/>
    </row>
    <row r="771">
      <c r="D771" s="157"/>
      <c r="E771" s="67"/>
      <c r="I771" s="157"/>
      <c r="M771" s="157"/>
      <c r="Q771" s="157"/>
      <c r="U771" s="157"/>
      <c r="V771" s="67"/>
      <c r="Z771" s="157"/>
    </row>
    <row r="772">
      <c r="D772" s="157"/>
      <c r="E772" s="67"/>
      <c r="I772" s="157"/>
      <c r="M772" s="157"/>
      <c r="Q772" s="157"/>
      <c r="U772" s="157"/>
      <c r="V772" s="67"/>
      <c r="Z772" s="157"/>
    </row>
    <row r="773">
      <c r="D773" s="157"/>
      <c r="E773" s="67"/>
      <c r="I773" s="157"/>
      <c r="M773" s="157"/>
      <c r="Q773" s="157"/>
      <c r="U773" s="157"/>
      <c r="V773" s="67"/>
      <c r="Z773" s="157"/>
    </row>
    <row r="774">
      <c r="D774" s="157"/>
      <c r="E774" s="67"/>
      <c r="I774" s="157"/>
      <c r="M774" s="157"/>
      <c r="Q774" s="157"/>
      <c r="U774" s="157"/>
      <c r="V774" s="67"/>
      <c r="Z774" s="157"/>
    </row>
    <row r="775">
      <c r="D775" s="157"/>
      <c r="E775" s="67"/>
      <c r="I775" s="157"/>
      <c r="M775" s="157"/>
      <c r="Q775" s="157"/>
      <c r="U775" s="157"/>
      <c r="V775" s="67"/>
      <c r="Z775" s="157"/>
    </row>
    <row r="776">
      <c r="D776" s="157"/>
      <c r="E776" s="67"/>
      <c r="I776" s="157"/>
      <c r="M776" s="157"/>
      <c r="Q776" s="157"/>
      <c r="U776" s="157"/>
      <c r="V776" s="67"/>
      <c r="Z776" s="157"/>
    </row>
    <row r="777">
      <c r="D777" s="157"/>
      <c r="E777" s="67"/>
      <c r="I777" s="157"/>
      <c r="M777" s="157"/>
      <c r="Q777" s="157"/>
      <c r="U777" s="157"/>
      <c r="V777" s="67"/>
      <c r="Z777" s="157"/>
    </row>
    <row r="778">
      <c r="D778" s="157"/>
      <c r="E778" s="67"/>
      <c r="I778" s="157"/>
      <c r="M778" s="157"/>
      <c r="Q778" s="157"/>
      <c r="U778" s="157"/>
      <c r="V778" s="67"/>
      <c r="Z778" s="157"/>
    </row>
    <row r="779">
      <c r="D779" s="157"/>
      <c r="E779" s="67"/>
      <c r="I779" s="157"/>
      <c r="M779" s="157"/>
      <c r="Q779" s="157"/>
      <c r="U779" s="157"/>
      <c r="V779" s="67"/>
      <c r="Z779" s="157"/>
    </row>
    <row r="780">
      <c r="D780" s="157"/>
      <c r="E780" s="67"/>
      <c r="I780" s="157"/>
      <c r="M780" s="157"/>
      <c r="Q780" s="157"/>
      <c r="U780" s="157"/>
      <c r="V780" s="67"/>
      <c r="Z780" s="157"/>
    </row>
    <row r="781">
      <c r="D781" s="157"/>
      <c r="E781" s="67"/>
      <c r="I781" s="157"/>
      <c r="M781" s="157"/>
      <c r="Q781" s="157"/>
      <c r="U781" s="157"/>
      <c r="V781" s="67"/>
      <c r="Z781" s="157"/>
    </row>
    <row r="782">
      <c r="D782" s="157"/>
      <c r="E782" s="67"/>
      <c r="I782" s="157"/>
      <c r="M782" s="157"/>
      <c r="Q782" s="157"/>
      <c r="U782" s="157"/>
      <c r="V782" s="67"/>
      <c r="Z782" s="157"/>
    </row>
    <row r="783">
      <c r="D783" s="157"/>
      <c r="E783" s="67"/>
      <c r="I783" s="157"/>
      <c r="M783" s="157"/>
      <c r="Q783" s="157"/>
      <c r="U783" s="157"/>
      <c r="V783" s="67"/>
      <c r="Z783" s="157"/>
    </row>
    <row r="784">
      <c r="D784" s="157"/>
      <c r="E784" s="67"/>
      <c r="I784" s="157"/>
      <c r="M784" s="157"/>
      <c r="Q784" s="157"/>
      <c r="U784" s="157"/>
      <c r="V784" s="67"/>
      <c r="Z784" s="157"/>
    </row>
    <row r="785">
      <c r="D785" s="157"/>
      <c r="E785" s="67"/>
      <c r="I785" s="157"/>
      <c r="M785" s="157"/>
      <c r="Q785" s="157"/>
      <c r="U785" s="157"/>
      <c r="V785" s="67"/>
      <c r="Z785" s="157"/>
    </row>
    <row r="786">
      <c r="D786" s="157"/>
      <c r="E786" s="67"/>
      <c r="I786" s="157"/>
      <c r="M786" s="157"/>
      <c r="Q786" s="157"/>
      <c r="U786" s="157"/>
      <c r="V786" s="67"/>
      <c r="Z786" s="157"/>
    </row>
    <row r="787">
      <c r="D787" s="157"/>
      <c r="E787" s="67"/>
      <c r="I787" s="157"/>
      <c r="M787" s="157"/>
      <c r="Q787" s="157"/>
      <c r="U787" s="157"/>
      <c r="V787" s="67"/>
      <c r="Z787" s="157"/>
    </row>
    <row r="788">
      <c r="D788" s="157"/>
      <c r="E788" s="67"/>
      <c r="I788" s="157"/>
      <c r="M788" s="157"/>
      <c r="Q788" s="157"/>
      <c r="U788" s="157"/>
      <c r="V788" s="67"/>
      <c r="Z788" s="157"/>
    </row>
    <row r="789">
      <c r="D789" s="157"/>
      <c r="E789" s="67"/>
      <c r="I789" s="157"/>
      <c r="M789" s="157"/>
      <c r="Q789" s="157"/>
      <c r="U789" s="157"/>
      <c r="V789" s="67"/>
      <c r="Z789" s="157"/>
    </row>
    <row r="790">
      <c r="D790" s="157"/>
      <c r="E790" s="67"/>
      <c r="I790" s="157"/>
      <c r="M790" s="157"/>
      <c r="Q790" s="157"/>
      <c r="U790" s="157"/>
      <c r="V790" s="67"/>
      <c r="Z790" s="157"/>
    </row>
    <row r="791">
      <c r="D791" s="157"/>
      <c r="E791" s="67"/>
      <c r="I791" s="157"/>
      <c r="M791" s="157"/>
      <c r="Q791" s="157"/>
      <c r="U791" s="157"/>
      <c r="V791" s="67"/>
      <c r="Z791" s="157"/>
    </row>
    <row r="792">
      <c r="D792" s="157"/>
      <c r="E792" s="67"/>
      <c r="I792" s="157"/>
      <c r="M792" s="157"/>
      <c r="Q792" s="157"/>
      <c r="U792" s="157"/>
      <c r="V792" s="67"/>
      <c r="Z792" s="157"/>
    </row>
    <row r="793">
      <c r="D793" s="157"/>
      <c r="E793" s="67"/>
      <c r="I793" s="157"/>
      <c r="M793" s="157"/>
      <c r="Q793" s="157"/>
      <c r="U793" s="157"/>
      <c r="V793" s="67"/>
      <c r="Z793" s="157"/>
    </row>
    <row r="794">
      <c r="D794" s="157"/>
      <c r="E794" s="67"/>
      <c r="I794" s="157"/>
      <c r="M794" s="157"/>
      <c r="Q794" s="157"/>
      <c r="U794" s="157"/>
      <c r="V794" s="67"/>
      <c r="Z794" s="157"/>
    </row>
    <row r="795">
      <c r="D795" s="157"/>
      <c r="E795" s="67"/>
      <c r="I795" s="157"/>
      <c r="M795" s="157"/>
      <c r="Q795" s="157"/>
      <c r="U795" s="157"/>
      <c r="V795" s="67"/>
      <c r="Z795" s="157"/>
    </row>
    <row r="796">
      <c r="D796" s="157"/>
      <c r="E796" s="67"/>
      <c r="I796" s="157"/>
      <c r="M796" s="157"/>
      <c r="Q796" s="157"/>
      <c r="U796" s="157"/>
      <c r="V796" s="67"/>
      <c r="Z796" s="157"/>
    </row>
    <row r="797">
      <c r="D797" s="157"/>
      <c r="E797" s="67"/>
      <c r="I797" s="157"/>
      <c r="M797" s="157"/>
      <c r="Q797" s="157"/>
      <c r="U797" s="157"/>
      <c r="V797" s="67"/>
      <c r="Z797" s="157"/>
    </row>
    <row r="798">
      <c r="D798" s="157"/>
      <c r="E798" s="67"/>
      <c r="I798" s="157"/>
      <c r="M798" s="157"/>
      <c r="Q798" s="157"/>
      <c r="U798" s="157"/>
      <c r="V798" s="67"/>
      <c r="Z798" s="157"/>
    </row>
    <row r="799">
      <c r="D799" s="157"/>
      <c r="E799" s="67"/>
      <c r="I799" s="157"/>
      <c r="M799" s="157"/>
      <c r="Q799" s="157"/>
      <c r="U799" s="157"/>
      <c r="V799" s="67"/>
      <c r="Z799" s="157"/>
    </row>
    <row r="800">
      <c r="D800" s="157"/>
      <c r="E800" s="67"/>
      <c r="I800" s="157"/>
      <c r="M800" s="157"/>
      <c r="Q800" s="157"/>
      <c r="U800" s="157"/>
      <c r="V800" s="67"/>
      <c r="Z800" s="157"/>
    </row>
    <row r="801">
      <c r="D801" s="157"/>
      <c r="E801" s="67"/>
      <c r="I801" s="157"/>
      <c r="M801" s="157"/>
      <c r="Q801" s="157"/>
      <c r="U801" s="157"/>
      <c r="V801" s="67"/>
      <c r="Z801" s="157"/>
    </row>
    <row r="802">
      <c r="D802" s="157"/>
      <c r="E802" s="67"/>
      <c r="I802" s="157"/>
      <c r="M802" s="157"/>
      <c r="Q802" s="157"/>
      <c r="U802" s="157"/>
      <c r="V802" s="67"/>
      <c r="Z802" s="157"/>
    </row>
    <row r="803">
      <c r="D803" s="157"/>
      <c r="E803" s="67"/>
      <c r="I803" s="157"/>
      <c r="M803" s="157"/>
      <c r="Q803" s="157"/>
      <c r="U803" s="157"/>
      <c r="V803" s="67"/>
      <c r="Z803" s="157"/>
    </row>
    <row r="804">
      <c r="D804" s="157"/>
      <c r="E804" s="67"/>
      <c r="I804" s="157"/>
      <c r="M804" s="157"/>
      <c r="Q804" s="157"/>
      <c r="U804" s="157"/>
      <c r="V804" s="67"/>
      <c r="Z804" s="157"/>
    </row>
    <row r="805">
      <c r="D805" s="157"/>
      <c r="E805" s="67"/>
      <c r="I805" s="157"/>
      <c r="M805" s="157"/>
      <c r="Q805" s="157"/>
      <c r="U805" s="157"/>
      <c r="V805" s="67"/>
      <c r="Z805" s="157"/>
    </row>
    <row r="806">
      <c r="D806" s="157"/>
      <c r="E806" s="67"/>
      <c r="I806" s="157"/>
      <c r="M806" s="157"/>
      <c r="Q806" s="157"/>
      <c r="U806" s="157"/>
      <c r="V806" s="67"/>
      <c r="Z806" s="157"/>
    </row>
    <row r="807">
      <c r="D807" s="157"/>
      <c r="E807" s="67"/>
      <c r="I807" s="157"/>
      <c r="M807" s="157"/>
      <c r="Q807" s="157"/>
      <c r="U807" s="157"/>
      <c r="V807" s="67"/>
      <c r="Z807" s="157"/>
    </row>
    <row r="808">
      <c r="D808" s="157"/>
      <c r="E808" s="67"/>
      <c r="I808" s="157"/>
      <c r="M808" s="157"/>
      <c r="Q808" s="157"/>
      <c r="U808" s="157"/>
      <c r="V808" s="67"/>
      <c r="Z808" s="157"/>
    </row>
    <row r="809">
      <c r="D809" s="157"/>
      <c r="E809" s="67"/>
      <c r="I809" s="157"/>
      <c r="M809" s="157"/>
      <c r="Q809" s="157"/>
      <c r="U809" s="157"/>
      <c r="V809" s="67"/>
      <c r="Z809" s="157"/>
    </row>
    <row r="810">
      <c r="D810" s="157"/>
      <c r="E810" s="67"/>
      <c r="I810" s="157"/>
      <c r="M810" s="157"/>
      <c r="Q810" s="157"/>
      <c r="U810" s="157"/>
      <c r="V810" s="67"/>
      <c r="Z810" s="157"/>
    </row>
    <row r="811">
      <c r="D811" s="157"/>
      <c r="E811" s="67"/>
      <c r="I811" s="157"/>
      <c r="M811" s="157"/>
      <c r="Q811" s="157"/>
      <c r="U811" s="157"/>
      <c r="V811" s="67"/>
      <c r="Z811" s="157"/>
    </row>
    <row r="812">
      <c r="D812" s="157"/>
      <c r="E812" s="67"/>
      <c r="I812" s="157"/>
      <c r="M812" s="157"/>
      <c r="Q812" s="157"/>
      <c r="U812" s="157"/>
      <c r="V812" s="67"/>
      <c r="Z812" s="157"/>
    </row>
    <row r="813">
      <c r="D813" s="157"/>
      <c r="E813" s="67"/>
      <c r="I813" s="157"/>
      <c r="M813" s="157"/>
      <c r="Q813" s="157"/>
      <c r="U813" s="157"/>
      <c r="V813" s="67"/>
      <c r="Z813" s="157"/>
    </row>
    <row r="814">
      <c r="D814" s="157"/>
      <c r="E814" s="67"/>
      <c r="I814" s="157"/>
      <c r="M814" s="157"/>
      <c r="Q814" s="157"/>
      <c r="U814" s="157"/>
      <c r="V814" s="67"/>
      <c r="Z814" s="157"/>
    </row>
    <row r="815">
      <c r="D815" s="157"/>
      <c r="E815" s="67"/>
      <c r="I815" s="157"/>
      <c r="M815" s="157"/>
      <c r="Q815" s="157"/>
      <c r="U815" s="157"/>
      <c r="V815" s="67"/>
      <c r="Z815" s="157"/>
    </row>
    <row r="816">
      <c r="D816" s="157"/>
      <c r="E816" s="67"/>
      <c r="I816" s="157"/>
      <c r="M816" s="157"/>
      <c r="Q816" s="157"/>
      <c r="U816" s="157"/>
      <c r="V816" s="67"/>
      <c r="Z816" s="157"/>
    </row>
    <row r="817">
      <c r="D817" s="157"/>
      <c r="E817" s="67"/>
      <c r="I817" s="157"/>
      <c r="M817" s="157"/>
      <c r="Q817" s="157"/>
      <c r="U817" s="157"/>
      <c r="V817" s="67"/>
      <c r="Z817" s="157"/>
    </row>
    <row r="818">
      <c r="D818" s="157"/>
      <c r="E818" s="67"/>
      <c r="I818" s="157"/>
      <c r="M818" s="157"/>
      <c r="Q818" s="157"/>
      <c r="U818" s="157"/>
      <c r="V818" s="67"/>
      <c r="Z818" s="157"/>
    </row>
    <row r="819">
      <c r="D819" s="157"/>
      <c r="E819" s="67"/>
      <c r="I819" s="157"/>
      <c r="M819" s="157"/>
      <c r="Q819" s="157"/>
      <c r="U819" s="157"/>
      <c r="V819" s="67"/>
      <c r="Z819" s="157"/>
    </row>
    <row r="820">
      <c r="D820" s="157"/>
      <c r="E820" s="67"/>
      <c r="I820" s="157"/>
      <c r="M820" s="157"/>
      <c r="Q820" s="157"/>
      <c r="U820" s="157"/>
      <c r="V820" s="67"/>
      <c r="Z820" s="157"/>
    </row>
    <row r="821">
      <c r="D821" s="157"/>
      <c r="E821" s="67"/>
      <c r="I821" s="157"/>
      <c r="M821" s="157"/>
      <c r="Q821" s="157"/>
      <c r="U821" s="157"/>
      <c r="V821" s="67"/>
      <c r="Z821" s="157"/>
    </row>
    <row r="822">
      <c r="D822" s="157"/>
      <c r="E822" s="67"/>
      <c r="I822" s="157"/>
      <c r="M822" s="157"/>
      <c r="Q822" s="157"/>
      <c r="U822" s="157"/>
      <c r="V822" s="67"/>
      <c r="Z822" s="157"/>
    </row>
    <row r="823">
      <c r="D823" s="157"/>
      <c r="E823" s="67"/>
      <c r="I823" s="157"/>
      <c r="M823" s="157"/>
      <c r="Q823" s="157"/>
      <c r="U823" s="157"/>
      <c r="V823" s="67"/>
      <c r="Z823" s="157"/>
    </row>
    <row r="824">
      <c r="D824" s="157"/>
      <c r="E824" s="67"/>
      <c r="I824" s="157"/>
      <c r="M824" s="157"/>
      <c r="Q824" s="157"/>
      <c r="U824" s="157"/>
      <c r="V824" s="67"/>
      <c r="Z824" s="157"/>
    </row>
    <row r="825">
      <c r="D825" s="157"/>
      <c r="E825" s="67"/>
      <c r="I825" s="157"/>
      <c r="M825" s="157"/>
      <c r="Q825" s="157"/>
      <c r="U825" s="157"/>
      <c r="V825" s="67"/>
      <c r="Z825" s="157"/>
    </row>
    <row r="826">
      <c r="D826" s="157"/>
      <c r="E826" s="67"/>
      <c r="I826" s="157"/>
      <c r="M826" s="157"/>
      <c r="Q826" s="157"/>
      <c r="U826" s="157"/>
      <c r="V826" s="67"/>
      <c r="Z826" s="157"/>
    </row>
    <row r="827">
      <c r="D827" s="157"/>
      <c r="E827" s="67"/>
      <c r="I827" s="157"/>
      <c r="M827" s="157"/>
      <c r="Q827" s="157"/>
      <c r="U827" s="157"/>
      <c r="V827" s="67"/>
      <c r="Z827" s="157"/>
    </row>
    <row r="828">
      <c r="D828" s="157"/>
      <c r="E828" s="67"/>
      <c r="I828" s="157"/>
      <c r="M828" s="157"/>
      <c r="Q828" s="157"/>
      <c r="U828" s="157"/>
      <c r="V828" s="67"/>
      <c r="Z828" s="157"/>
    </row>
    <row r="829">
      <c r="D829" s="157"/>
      <c r="E829" s="67"/>
      <c r="I829" s="157"/>
      <c r="M829" s="157"/>
      <c r="Q829" s="157"/>
      <c r="U829" s="157"/>
      <c r="V829" s="67"/>
      <c r="Z829" s="157"/>
    </row>
    <row r="830">
      <c r="D830" s="157"/>
      <c r="E830" s="67"/>
      <c r="I830" s="157"/>
      <c r="M830" s="157"/>
      <c r="Q830" s="157"/>
      <c r="U830" s="157"/>
      <c r="V830" s="67"/>
      <c r="Z830" s="157"/>
    </row>
    <row r="831">
      <c r="D831" s="157"/>
      <c r="E831" s="67"/>
      <c r="I831" s="157"/>
      <c r="M831" s="157"/>
      <c r="Q831" s="157"/>
      <c r="U831" s="157"/>
      <c r="V831" s="67"/>
      <c r="Z831" s="157"/>
    </row>
    <row r="832">
      <c r="D832" s="157"/>
      <c r="E832" s="67"/>
      <c r="I832" s="157"/>
      <c r="M832" s="157"/>
      <c r="Q832" s="157"/>
      <c r="U832" s="157"/>
      <c r="V832" s="67"/>
      <c r="Z832" s="157"/>
    </row>
    <row r="833">
      <c r="D833" s="157"/>
      <c r="E833" s="67"/>
      <c r="I833" s="157"/>
      <c r="M833" s="157"/>
      <c r="Q833" s="157"/>
      <c r="U833" s="157"/>
      <c r="V833" s="67"/>
      <c r="Z833" s="157"/>
    </row>
    <row r="834">
      <c r="D834" s="157"/>
      <c r="E834" s="67"/>
      <c r="I834" s="157"/>
      <c r="M834" s="157"/>
      <c r="Q834" s="157"/>
      <c r="U834" s="157"/>
      <c r="V834" s="67"/>
      <c r="Z834" s="157"/>
    </row>
    <row r="835">
      <c r="D835" s="157"/>
      <c r="E835" s="67"/>
      <c r="I835" s="157"/>
      <c r="M835" s="157"/>
      <c r="Q835" s="157"/>
      <c r="U835" s="157"/>
      <c r="V835" s="67"/>
      <c r="Z835" s="157"/>
    </row>
    <row r="836">
      <c r="D836" s="157"/>
      <c r="E836" s="67"/>
      <c r="I836" s="157"/>
      <c r="M836" s="157"/>
      <c r="Q836" s="157"/>
      <c r="U836" s="157"/>
      <c r="V836" s="67"/>
      <c r="Z836" s="157"/>
    </row>
    <row r="837">
      <c r="D837" s="157"/>
      <c r="E837" s="67"/>
      <c r="I837" s="157"/>
      <c r="M837" s="157"/>
      <c r="Q837" s="157"/>
      <c r="U837" s="157"/>
      <c r="V837" s="67"/>
      <c r="Z837" s="157"/>
    </row>
    <row r="838">
      <c r="D838" s="157"/>
      <c r="E838" s="67"/>
      <c r="I838" s="157"/>
      <c r="M838" s="157"/>
      <c r="Q838" s="157"/>
      <c r="U838" s="157"/>
      <c r="V838" s="67"/>
      <c r="Z838" s="157"/>
    </row>
    <row r="839">
      <c r="D839" s="157"/>
      <c r="E839" s="67"/>
      <c r="I839" s="157"/>
      <c r="M839" s="157"/>
      <c r="Q839" s="157"/>
      <c r="U839" s="157"/>
      <c r="V839" s="67"/>
      <c r="Z839" s="157"/>
    </row>
    <row r="840">
      <c r="D840" s="157"/>
      <c r="E840" s="67"/>
      <c r="I840" s="157"/>
      <c r="M840" s="157"/>
      <c r="Q840" s="157"/>
      <c r="U840" s="157"/>
      <c r="V840" s="67"/>
      <c r="Z840" s="157"/>
    </row>
    <row r="841">
      <c r="D841" s="157"/>
      <c r="E841" s="67"/>
      <c r="I841" s="157"/>
      <c r="M841" s="157"/>
      <c r="Q841" s="157"/>
      <c r="U841" s="157"/>
      <c r="V841" s="67"/>
      <c r="Z841" s="157"/>
    </row>
    <row r="842">
      <c r="D842" s="157"/>
      <c r="E842" s="67"/>
      <c r="I842" s="157"/>
      <c r="M842" s="157"/>
      <c r="Q842" s="157"/>
      <c r="U842" s="157"/>
      <c r="V842" s="67"/>
      <c r="Z842" s="157"/>
    </row>
    <row r="843">
      <c r="D843" s="157"/>
      <c r="E843" s="67"/>
      <c r="I843" s="157"/>
      <c r="M843" s="157"/>
      <c r="Q843" s="157"/>
      <c r="U843" s="157"/>
      <c r="V843" s="67"/>
      <c r="Z843" s="157"/>
    </row>
    <row r="844">
      <c r="D844" s="157"/>
      <c r="E844" s="67"/>
      <c r="I844" s="157"/>
      <c r="M844" s="157"/>
      <c r="Q844" s="157"/>
      <c r="U844" s="157"/>
      <c r="V844" s="67"/>
      <c r="Z844" s="157"/>
    </row>
    <row r="845">
      <c r="D845" s="157"/>
      <c r="E845" s="67"/>
      <c r="I845" s="157"/>
      <c r="M845" s="157"/>
      <c r="Q845" s="157"/>
      <c r="U845" s="157"/>
      <c r="V845" s="67"/>
      <c r="Z845" s="157"/>
    </row>
    <row r="846">
      <c r="D846" s="157"/>
      <c r="E846" s="67"/>
      <c r="I846" s="157"/>
      <c r="M846" s="157"/>
      <c r="Q846" s="157"/>
      <c r="U846" s="157"/>
      <c r="V846" s="67"/>
      <c r="Z846" s="157"/>
    </row>
    <row r="847">
      <c r="D847" s="157"/>
      <c r="E847" s="67"/>
      <c r="I847" s="157"/>
      <c r="M847" s="157"/>
      <c r="Q847" s="157"/>
      <c r="U847" s="157"/>
      <c r="V847" s="67"/>
      <c r="Z847" s="157"/>
    </row>
    <row r="848">
      <c r="D848" s="157"/>
      <c r="E848" s="67"/>
      <c r="I848" s="157"/>
      <c r="M848" s="157"/>
      <c r="Q848" s="157"/>
      <c r="U848" s="157"/>
      <c r="V848" s="67"/>
      <c r="Z848" s="157"/>
    </row>
    <row r="849">
      <c r="D849" s="157"/>
      <c r="E849" s="67"/>
      <c r="I849" s="157"/>
      <c r="M849" s="157"/>
      <c r="Q849" s="157"/>
      <c r="U849" s="157"/>
      <c r="V849" s="67"/>
      <c r="Z849" s="157"/>
    </row>
    <row r="850">
      <c r="D850" s="157"/>
      <c r="E850" s="67"/>
      <c r="I850" s="157"/>
      <c r="M850" s="157"/>
      <c r="Q850" s="157"/>
      <c r="U850" s="157"/>
      <c r="V850" s="67"/>
      <c r="Z850" s="157"/>
    </row>
    <row r="851">
      <c r="D851" s="157"/>
      <c r="E851" s="67"/>
      <c r="I851" s="157"/>
      <c r="M851" s="157"/>
      <c r="Q851" s="157"/>
      <c r="U851" s="157"/>
      <c r="V851" s="67"/>
      <c r="Z851" s="157"/>
    </row>
    <row r="852">
      <c r="D852" s="157"/>
      <c r="E852" s="67"/>
      <c r="I852" s="157"/>
      <c r="M852" s="157"/>
      <c r="Q852" s="157"/>
      <c r="U852" s="157"/>
      <c r="V852" s="67"/>
      <c r="Z852" s="157"/>
    </row>
    <row r="853">
      <c r="D853" s="157"/>
      <c r="E853" s="67"/>
      <c r="I853" s="157"/>
      <c r="M853" s="157"/>
      <c r="Q853" s="157"/>
      <c r="U853" s="157"/>
      <c r="V853" s="67"/>
      <c r="Z853" s="157"/>
    </row>
    <row r="854">
      <c r="D854" s="157"/>
      <c r="E854" s="67"/>
      <c r="I854" s="157"/>
      <c r="M854" s="157"/>
      <c r="Q854" s="157"/>
      <c r="U854" s="157"/>
      <c r="V854" s="67"/>
      <c r="Z854" s="157"/>
    </row>
    <row r="855">
      <c r="D855" s="157"/>
      <c r="E855" s="67"/>
      <c r="I855" s="157"/>
      <c r="M855" s="157"/>
      <c r="Q855" s="157"/>
      <c r="U855" s="157"/>
      <c r="V855" s="67"/>
      <c r="Z855" s="157"/>
    </row>
    <row r="856">
      <c r="D856" s="157"/>
      <c r="E856" s="67"/>
      <c r="I856" s="157"/>
      <c r="M856" s="157"/>
      <c r="Q856" s="157"/>
      <c r="U856" s="157"/>
      <c r="V856" s="67"/>
      <c r="Z856" s="157"/>
    </row>
    <row r="857">
      <c r="D857" s="157"/>
      <c r="E857" s="67"/>
      <c r="I857" s="157"/>
      <c r="M857" s="157"/>
      <c r="Q857" s="157"/>
      <c r="U857" s="157"/>
      <c r="V857" s="67"/>
      <c r="Z857" s="157"/>
    </row>
    <row r="858">
      <c r="D858" s="157"/>
      <c r="E858" s="67"/>
      <c r="I858" s="157"/>
      <c r="M858" s="157"/>
      <c r="Q858" s="157"/>
      <c r="U858" s="157"/>
      <c r="V858" s="67"/>
      <c r="Z858" s="157"/>
    </row>
    <row r="859">
      <c r="D859" s="157"/>
      <c r="E859" s="67"/>
      <c r="I859" s="157"/>
      <c r="M859" s="157"/>
      <c r="Q859" s="157"/>
      <c r="U859" s="157"/>
      <c r="V859" s="67"/>
      <c r="Z859" s="157"/>
    </row>
    <row r="860">
      <c r="D860" s="157"/>
      <c r="E860" s="67"/>
      <c r="I860" s="157"/>
      <c r="M860" s="157"/>
      <c r="Q860" s="157"/>
      <c r="U860" s="157"/>
      <c r="V860" s="67"/>
      <c r="Z860" s="157"/>
    </row>
    <row r="861">
      <c r="D861" s="157"/>
      <c r="E861" s="67"/>
      <c r="I861" s="157"/>
      <c r="M861" s="157"/>
      <c r="Q861" s="157"/>
      <c r="U861" s="157"/>
      <c r="V861" s="67"/>
      <c r="Z861" s="157"/>
    </row>
    <row r="862">
      <c r="D862" s="157"/>
      <c r="E862" s="67"/>
      <c r="I862" s="157"/>
      <c r="M862" s="157"/>
      <c r="Q862" s="157"/>
      <c r="U862" s="157"/>
      <c r="V862" s="67"/>
      <c r="Z862" s="157"/>
    </row>
    <row r="863">
      <c r="D863" s="157"/>
      <c r="E863" s="67"/>
      <c r="I863" s="157"/>
      <c r="M863" s="157"/>
      <c r="Q863" s="157"/>
      <c r="U863" s="157"/>
      <c r="V863" s="67"/>
      <c r="Z863" s="157"/>
    </row>
    <row r="864">
      <c r="D864" s="157"/>
      <c r="E864" s="67"/>
      <c r="I864" s="157"/>
      <c r="M864" s="157"/>
      <c r="Q864" s="157"/>
      <c r="U864" s="157"/>
      <c r="V864" s="67"/>
      <c r="Z864" s="157"/>
    </row>
    <row r="865">
      <c r="D865" s="157"/>
      <c r="E865" s="67"/>
      <c r="I865" s="157"/>
      <c r="M865" s="157"/>
      <c r="Q865" s="157"/>
      <c r="U865" s="157"/>
      <c r="V865" s="67"/>
      <c r="Z865" s="157"/>
    </row>
    <row r="866">
      <c r="D866" s="157"/>
      <c r="E866" s="67"/>
      <c r="I866" s="157"/>
      <c r="M866" s="157"/>
      <c r="Q866" s="157"/>
      <c r="U866" s="157"/>
      <c r="V866" s="67"/>
      <c r="Z866" s="157"/>
    </row>
    <row r="867">
      <c r="D867" s="157"/>
      <c r="E867" s="67"/>
      <c r="I867" s="157"/>
      <c r="M867" s="157"/>
      <c r="Q867" s="157"/>
      <c r="U867" s="157"/>
      <c r="V867" s="67"/>
      <c r="Z867" s="157"/>
    </row>
    <row r="868">
      <c r="D868" s="157"/>
      <c r="E868" s="67"/>
      <c r="I868" s="157"/>
      <c r="M868" s="157"/>
      <c r="Q868" s="157"/>
      <c r="U868" s="157"/>
      <c r="V868" s="67"/>
      <c r="Z868" s="157"/>
    </row>
    <row r="869">
      <c r="D869" s="157"/>
      <c r="E869" s="67"/>
      <c r="I869" s="157"/>
      <c r="M869" s="157"/>
      <c r="Q869" s="157"/>
      <c r="U869" s="157"/>
      <c r="V869" s="67"/>
      <c r="Z869" s="157"/>
    </row>
    <row r="870">
      <c r="D870" s="157"/>
      <c r="E870" s="67"/>
      <c r="I870" s="157"/>
      <c r="M870" s="157"/>
      <c r="Q870" s="157"/>
      <c r="U870" s="157"/>
      <c r="V870" s="67"/>
      <c r="Z870" s="157"/>
    </row>
    <row r="871">
      <c r="D871" s="157"/>
      <c r="E871" s="67"/>
      <c r="I871" s="157"/>
      <c r="M871" s="157"/>
      <c r="Q871" s="157"/>
      <c r="U871" s="157"/>
      <c r="V871" s="67"/>
      <c r="Z871" s="157"/>
    </row>
    <row r="872">
      <c r="D872" s="157"/>
      <c r="E872" s="67"/>
      <c r="I872" s="157"/>
      <c r="M872" s="157"/>
      <c r="Q872" s="157"/>
      <c r="U872" s="157"/>
      <c r="V872" s="67"/>
      <c r="Z872" s="157"/>
    </row>
    <row r="873">
      <c r="D873" s="157"/>
      <c r="E873" s="67"/>
      <c r="I873" s="157"/>
      <c r="M873" s="157"/>
      <c r="Q873" s="157"/>
      <c r="U873" s="157"/>
      <c r="V873" s="67"/>
      <c r="Z873" s="157"/>
    </row>
    <row r="874">
      <c r="D874" s="157"/>
      <c r="E874" s="67"/>
      <c r="I874" s="157"/>
      <c r="M874" s="157"/>
      <c r="Q874" s="157"/>
      <c r="U874" s="157"/>
      <c r="V874" s="67"/>
      <c r="Z874" s="157"/>
    </row>
    <row r="875">
      <c r="D875" s="157"/>
      <c r="E875" s="67"/>
      <c r="I875" s="157"/>
      <c r="M875" s="157"/>
      <c r="Q875" s="157"/>
      <c r="U875" s="157"/>
      <c r="V875" s="67"/>
      <c r="Z875" s="157"/>
    </row>
    <row r="876">
      <c r="D876" s="157"/>
      <c r="E876" s="67"/>
      <c r="I876" s="157"/>
      <c r="M876" s="157"/>
      <c r="Q876" s="157"/>
      <c r="U876" s="157"/>
      <c r="V876" s="67"/>
      <c r="Z876" s="157"/>
    </row>
    <row r="877">
      <c r="D877" s="157"/>
      <c r="E877" s="67"/>
      <c r="I877" s="157"/>
      <c r="M877" s="157"/>
      <c r="Q877" s="157"/>
      <c r="U877" s="157"/>
      <c r="V877" s="67"/>
      <c r="Z877" s="157"/>
    </row>
    <row r="878">
      <c r="D878" s="157"/>
      <c r="E878" s="67"/>
      <c r="I878" s="157"/>
      <c r="M878" s="157"/>
      <c r="Q878" s="157"/>
      <c r="U878" s="157"/>
      <c r="V878" s="67"/>
      <c r="Z878" s="157"/>
    </row>
    <row r="879">
      <c r="D879" s="157"/>
      <c r="E879" s="67"/>
      <c r="I879" s="157"/>
      <c r="M879" s="157"/>
      <c r="Q879" s="157"/>
      <c r="U879" s="157"/>
      <c r="V879" s="67"/>
      <c r="Z879" s="157"/>
    </row>
    <row r="880">
      <c r="D880" s="157"/>
      <c r="E880" s="67"/>
      <c r="I880" s="157"/>
      <c r="M880" s="157"/>
      <c r="Q880" s="157"/>
      <c r="U880" s="157"/>
      <c r="V880" s="67"/>
      <c r="Z880" s="157"/>
    </row>
    <row r="881">
      <c r="D881" s="157"/>
      <c r="E881" s="67"/>
      <c r="I881" s="157"/>
      <c r="M881" s="157"/>
      <c r="Q881" s="157"/>
      <c r="U881" s="157"/>
      <c r="V881" s="67"/>
      <c r="Z881" s="157"/>
    </row>
    <row r="882">
      <c r="D882" s="157"/>
      <c r="E882" s="67"/>
      <c r="I882" s="157"/>
      <c r="M882" s="157"/>
      <c r="Q882" s="157"/>
      <c r="U882" s="157"/>
      <c r="V882" s="67"/>
      <c r="Z882" s="157"/>
    </row>
    <row r="883">
      <c r="D883" s="157"/>
      <c r="E883" s="67"/>
      <c r="I883" s="157"/>
      <c r="M883" s="157"/>
      <c r="Q883" s="157"/>
      <c r="U883" s="157"/>
      <c r="V883" s="67"/>
      <c r="Z883" s="157"/>
    </row>
    <row r="884">
      <c r="D884" s="157"/>
      <c r="E884" s="67"/>
      <c r="I884" s="157"/>
      <c r="M884" s="157"/>
      <c r="Q884" s="157"/>
      <c r="U884" s="157"/>
      <c r="V884" s="67"/>
      <c r="Z884" s="157"/>
    </row>
    <row r="885">
      <c r="D885" s="157"/>
      <c r="E885" s="67"/>
      <c r="I885" s="157"/>
      <c r="M885" s="157"/>
      <c r="Q885" s="157"/>
      <c r="U885" s="157"/>
      <c r="V885" s="67"/>
      <c r="Z885" s="157"/>
    </row>
    <row r="886">
      <c r="D886" s="157"/>
      <c r="E886" s="67"/>
      <c r="I886" s="157"/>
      <c r="M886" s="157"/>
      <c r="Q886" s="157"/>
      <c r="U886" s="157"/>
      <c r="V886" s="67"/>
      <c r="Z886" s="157"/>
    </row>
    <row r="887">
      <c r="D887" s="157"/>
      <c r="E887" s="67"/>
      <c r="I887" s="157"/>
      <c r="M887" s="157"/>
      <c r="Q887" s="157"/>
      <c r="U887" s="157"/>
      <c r="V887" s="67"/>
      <c r="Z887" s="157"/>
    </row>
    <row r="888">
      <c r="D888" s="157"/>
      <c r="E888" s="67"/>
      <c r="I888" s="157"/>
      <c r="M888" s="157"/>
      <c r="Q888" s="157"/>
      <c r="U888" s="157"/>
      <c r="V888" s="67"/>
      <c r="Z888" s="157"/>
    </row>
    <row r="889">
      <c r="D889" s="157"/>
      <c r="E889" s="67"/>
      <c r="I889" s="157"/>
      <c r="M889" s="157"/>
      <c r="Q889" s="157"/>
      <c r="U889" s="157"/>
      <c r="V889" s="67"/>
      <c r="Z889" s="157"/>
    </row>
    <row r="890">
      <c r="D890" s="157"/>
      <c r="E890" s="67"/>
      <c r="I890" s="157"/>
      <c r="M890" s="157"/>
      <c r="Q890" s="157"/>
      <c r="U890" s="157"/>
      <c r="V890" s="67"/>
      <c r="Z890" s="157"/>
    </row>
    <row r="891">
      <c r="D891" s="157"/>
      <c r="E891" s="67"/>
      <c r="I891" s="157"/>
      <c r="M891" s="157"/>
      <c r="Q891" s="157"/>
      <c r="U891" s="157"/>
      <c r="V891" s="67"/>
      <c r="Z891" s="157"/>
    </row>
    <row r="892">
      <c r="D892" s="157"/>
      <c r="E892" s="67"/>
      <c r="I892" s="157"/>
      <c r="M892" s="157"/>
      <c r="Q892" s="157"/>
      <c r="U892" s="157"/>
      <c r="V892" s="67"/>
      <c r="Z892" s="157"/>
    </row>
    <row r="893">
      <c r="D893" s="157"/>
      <c r="E893" s="67"/>
      <c r="I893" s="157"/>
      <c r="M893" s="157"/>
      <c r="Q893" s="157"/>
      <c r="U893" s="157"/>
      <c r="V893" s="67"/>
      <c r="Z893" s="157"/>
    </row>
    <row r="894">
      <c r="D894" s="157"/>
      <c r="E894" s="67"/>
      <c r="I894" s="157"/>
      <c r="M894" s="157"/>
      <c r="Q894" s="157"/>
      <c r="U894" s="157"/>
      <c r="V894" s="67"/>
      <c r="Z894" s="157"/>
    </row>
    <row r="895">
      <c r="D895" s="157"/>
      <c r="E895" s="67"/>
      <c r="I895" s="157"/>
      <c r="M895" s="157"/>
      <c r="Q895" s="157"/>
      <c r="U895" s="157"/>
      <c r="V895" s="67"/>
      <c r="Z895" s="157"/>
    </row>
    <row r="896">
      <c r="D896" s="157"/>
      <c r="E896" s="67"/>
      <c r="I896" s="157"/>
      <c r="M896" s="157"/>
      <c r="Q896" s="157"/>
      <c r="U896" s="157"/>
      <c r="V896" s="67"/>
      <c r="Z896" s="157"/>
    </row>
    <row r="897">
      <c r="D897" s="157"/>
      <c r="E897" s="67"/>
      <c r="I897" s="157"/>
      <c r="M897" s="157"/>
      <c r="Q897" s="157"/>
      <c r="U897" s="157"/>
      <c r="V897" s="67"/>
      <c r="Z897" s="157"/>
    </row>
    <row r="898">
      <c r="D898" s="157"/>
      <c r="E898" s="67"/>
      <c r="I898" s="157"/>
      <c r="M898" s="157"/>
      <c r="Q898" s="157"/>
      <c r="U898" s="157"/>
      <c r="V898" s="67"/>
      <c r="Z898" s="157"/>
    </row>
    <row r="899">
      <c r="D899" s="157"/>
      <c r="E899" s="67"/>
      <c r="I899" s="157"/>
      <c r="M899" s="157"/>
      <c r="Q899" s="157"/>
      <c r="U899" s="157"/>
      <c r="V899" s="67"/>
      <c r="Z899" s="157"/>
    </row>
    <row r="900">
      <c r="D900" s="157"/>
      <c r="E900" s="67"/>
      <c r="I900" s="157"/>
      <c r="M900" s="157"/>
      <c r="Q900" s="157"/>
      <c r="U900" s="157"/>
      <c r="V900" s="67"/>
      <c r="Z900" s="157"/>
    </row>
    <row r="901">
      <c r="D901" s="157"/>
      <c r="E901" s="67"/>
      <c r="I901" s="157"/>
      <c r="M901" s="157"/>
      <c r="Q901" s="157"/>
      <c r="U901" s="157"/>
      <c r="V901" s="67"/>
      <c r="Z901" s="157"/>
    </row>
    <row r="902">
      <c r="D902" s="157"/>
      <c r="E902" s="67"/>
      <c r="I902" s="157"/>
      <c r="M902" s="157"/>
      <c r="Q902" s="157"/>
      <c r="U902" s="157"/>
      <c r="V902" s="67"/>
      <c r="Z902" s="157"/>
    </row>
    <row r="903">
      <c r="D903" s="157"/>
      <c r="E903" s="67"/>
      <c r="I903" s="157"/>
      <c r="M903" s="157"/>
      <c r="Q903" s="157"/>
      <c r="U903" s="157"/>
      <c r="V903" s="67"/>
      <c r="Z903" s="157"/>
    </row>
    <row r="904">
      <c r="D904" s="157"/>
      <c r="E904" s="67"/>
      <c r="I904" s="157"/>
      <c r="M904" s="157"/>
      <c r="Q904" s="157"/>
      <c r="U904" s="157"/>
      <c r="V904" s="67"/>
      <c r="Z904" s="157"/>
    </row>
    <row r="905">
      <c r="D905" s="157"/>
      <c r="E905" s="67"/>
      <c r="I905" s="157"/>
      <c r="M905" s="157"/>
      <c r="Q905" s="157"/>
      <c r="U905" s="157"/>
      <c r="V905" s="67"/>
      <c r="Z905" s="157"/>
    </row>
    <row r="906">
      <c r="D906" s="157"/>
      <c r="E906" s="67"/>
      <c r="I906" s="157"/>
      <c r="M906" s="157"/>
      <c r="Q906" s="157"/>
      <c r="U906" s="157"/>
      <c r="V906" s="67"/>
      <c r="Z906" s="157"/>
    </row>
    <row r="907">
      <c r="D907" s="157"/>
      <c r="E907" s="67"/>
      <c r="I907" s="157"/>
      <c r="M907" s="157"/>
      <c r="Q907" s="157"/>
      <c r="U907" s="157"/>
      <c r="V907" s="67"/>
      <c r="Z907" s="157"/>
    </row>
    <row r="908">
      <c r="D908" s="157"/>
      <c r="E908" s="67"/>
      <c r="I908" s="157"/>
      <c r="M908" s="157"/>
      <c r="Q908" s="157"/>
      <c r="U908" s="157"/>
      <c r="V908" s="67"/>
      <c r="Z908" s="157"/>
    </row>
    <row r="909">
      <c r="D909" s="157"/>
      <c r="E909" s="67"/>
      <c r="I909" s="157"/>
      <c r="M909" s="157"/>
      <c r="Q909" s="157"/>
      <c r="U909" s="157"/>
      <c r="V909" s="67"/>
      <c r="Z909" s="157"/>
    </row>
    <row r="910">
      <c r="D910" s="157"/>
      <c r="E910" s="67"/>
      <c r="I910" s="157"/>
      <c r="M910" s="157"/>
      <c r="Q910" s="157"/>
      <c r="U910" s="157"/>
      <c r="V910" s="67"/>
      <c r="Z910" s="157"/>
    </row>
    <row r="911">
      <c r="D911" s="157"/>
      <c r="E911" s="67"/>
      <c r="I911" s="157"/>
      <c r="M911" s="157"/>
      <c r="Q911" s="157"/>
      <c r="U911" s="157"/>
      <c r="V911" s="67"/>
      <c r="Z911" s="157"/>
    </row>
    <row r="912">
      <c r="D912" s="157"/>
      <c r="E912" s="67"/>
      <c r="I912" s="157"/>
      <c r="M912" s="157"/>
      <c r="Q912" s="157"/>
      <c r="U912" s="157"/>
      <c r="V912" s="67"/>
      <c r="Z912" s="157"/>
    </row>
    <row r="913">
      <c r="D913" s="157"/>
      <c r="E913" s="67"/>
      <c r="I913" s="157"/>
      <c r="M913" s="157"/>
      <c r="Q913" s="157"/>
      <c r="U913" s="157"/>
      <c r="V913" s="67"/>
      <c r="Z913" s="157"/>
    </row>
    <row r="914">
      <c r="D914" s="157"/>
      <c r="E914" s="67"/>
      <c r="I914" s="157"/>
      <c r="M914" s="157"/>
      <c r="Q914" s="157"/>
      <c r="U914" s="157"/>
      <c r="V914" s="67"/>
      <c r="Z914" s="157"/>
    </row>
    <row r="915">
      <c r="D915" s="157"/>
      <c r="E915" s="67"/>
      <c r="I915" s="157"/>
      <c r="M915" s="157"/>
      <c r="Q915" s="157"/>
      <c r="U915" s="157"/>
      <c r="V915" s="67"/>
      <c r="Z915" s="157"/>
    </row>
    <row r="916">
      <c r="D916" s="157"/>
      <c r="E916" s="67"/>
      <c r="I916" s="157"/>
      <c r="M916" s="157"/>
      <c r="Q916" s="157"/>
      <c r="U916" s="157"/>
      <c r="V916" s="67"/>
      <c r="Z916" s="157"/>
    </row>
    <row r="917">
      <c r="D917" s="157"/>
      <c r="E917" s="67"/>
      <c r="I917" s="157"/>
      <c r="M917" s="157"/>
      <c r="Q917" s="157"/>
      <c r="U917" s="157"/>
      <c r="V917" s="67"/>
      <c r="Z917" s="157"/>
    </row>
    <row r="918">
      <c r="D918" s="157"/>
      <c r="E918" s="67"/>
      <c r="I918" s="157"/>
      <c r="M918" s="157"/>
      <c r="Q918" s="157"/>
      <c r="U918" s="157"/>
      <c r="V918" s="67"/>
      <c r="Z918" s="157"/>
    </row>
    <row r="919">
      <c r="D919" s="157"/>
      <c r="E919" s="67"/>
      <c r="I919" s="157"/>
      <c r="M919" s="157"/>
      <c r="Q919" s="157"/>
      <c r="U919" s="157"/>
      <c r="V919" s="67"/>
      <c r="Z919" s="157"/>
    </row>
    <row r="920">
      <c r="D920" s="157"/>
      <c r="E920" s="67"/>
      <c r="I920" s="157"/>
      <c r="M920" s="157"/>
      <c r="Q920" s="157"/>
      <c r="U920" s="157"/>
      <c r="V920" s="67"/>
      <c r="Z920" s="157"/>
    </row>
    <row r="921">
      <c r="D921" s="157"/>
      <c r="E921" s="67"/>
      <c r="I921" s="157"/>
      <c r="M921" s="157"/>
      <c r="Q921" s="157"/>
      <c r="U921" s="157"/>
      <c r="V921" s="67"/>
      <c r="Z921" s="157"/>
    </row>
    <row r="922">
      <c r="D922" s="157"/>
      <c r="E922" s="67"/>
      <c r="I922" s="157"/>
      <c r="M922" s="157"/>
      <c r="Q922" s="157"/>
      <c r="U922" s="157"/>
      <c r="V922" s="67"/>
      <c r="Z922" s="157"/>
    </row>
    <row r="923">
      <c r="D923" s="157"/>
      <c r="E923" s="67"/>
      <c r="I923" s="157"/>
      <c r="M923" s="157"/>
      <c r="Q923" s="157"/>
      <c r="U923" s="157"/>
      <c r="V923" s="67"/>
      <c r="Z923" s="157"/>
    </row>
    <row r="924">
      <c r="D924" s="157"/>
      <c r="E924" s="67"/>
      <c r="I924" s="157"/>
      <c r="M924" s="157"/>
      <c r="Q924" s="157"/>
      <c r="U924" s="157"/>
      <c r="V924" s="67"/>
      <c r="Z924" s="157"/>
    </row>
    <row r="925">
      <c r="D925" s="157"/>
      <c r="E925" s="67"/>
      <c r="I925" s="157"/>
      <c r="M925" s="157"/>
      <c r="Q925" s="157"/>
      <c r="U925" s="157"/>
      <c r="V925" s="67"/>
      <c r="Z925" s="157"/>
    </row>
    <row r="926">
      <c r="D926" s="157"/>
      <c r="E926" s="67"/>
      <c r="I926" s="157"/>
      <c r="M926" s="157"/>
      <c r="Q926" s="157"/>
      <c r="U926" s="157"/>
      <c r="V926" s="67"/>
      <c r="Z926" s="157"/>
    </row>
    <row r="927">
      <c r="D927" s="157"/>
      <c r="E927" s="67"/>
      <c r="I927" s="157"/>
      <c r="M927" s="157"/>
      <c r="Q927" s="157"/>
      <c r="U927" s="157"/>
      <c r="V927" s="67"/>
      <c r="Z927" s="157"/>
    </row>
    <row r="928">
      <c r="D928" s="157"/>
      <c r="E928" s="67"/>
      <c r="I928" s="157"/>
      <c r="M928" s="157"/>
      <c r="Q928" s="157"/>
      <c r="U928" s="157"/>
      <c r="V928" s="67"/>
      <c r="Z928" s="157"/>
    </row>
    <row r="929">
      <c r="D929" s="157"/>
      <c r="E929" s="67"/>
      <c r="I929" s="157"/>
      <c r="M929" s="157"/>
      <c r="Q929" s="157"/>
      <c r="U929" s="157"/>
      <c r="V929" s="67"/>
      <c r="Z929" s="157"/>
    </row>
    <row r="930">
      <c r="D930" s="157"/>
      <c r="E930" s="67"/>
      <c r="I930" s="157"/>
      <c r="M930" s="157"/>
      <c r="Q930" s="157"/>
      <c r="U930" s="157"/>
      <c r="V930" s="67"/>
      <c r="Z930" s="157"/>
    </row>
    <row r="931">
      <c r="D931" s="157"/>
      <c r="E931" s="67"/>
      <c r="I931" s="157"/>
      <c r="M931" s="157"/>
      <c r="Q931" s="157"/>
      <c r="U931" s="157"/>
      <c r="V931" s="67"/>
      <c r="Z931" s="157"/>
    </row>
    <row r="932">
      <c r="D932" s="157"/>
      <c r="E932" s="67"/>
      <c r="I932" s="157"/>
      <c r="M932" s="157"/>
      <c r="Q932" s="157"/>
      <c r="U932" s="157"/>
      <c r="V932" s="67"/>
      <c r="Z932" s="157"/>
    </row>
    <row r="933">
      <c r="D933" s="157"/>
      <c r="E933" s="67"/>
      <c r="I933" s="157"/>
      <c r="M933" s="157"/>
      <c r="Q933" s="157"/>
      <c r="U933" s="157"/>
      <c r="V933" s="67"/>
      <c r="Z933" s="157"/>
    </row>
    <row r="934">
      <c r="D934" s="157"/>
      <c r="E934" s="67"/>
      <c r="I934" s="157"/>
      <c r="M934" s="157"/>
      <c r="Q934" s="157"/>
      <c r="U934" s="157"/>
      <c r="V934" s="67"/>
      <c r="Z934" s="157"/>
    </row>
    <row r="935">
      <c r="D935" s="157"/>
      <c r="E935" s="67"/>
      <c r="I935" s="157"/>
      <c r="M935" s="157"/>
      <c r="Q935" s="157"/>
      <c r="U935" s="157"/>
      <c r="V935" s="67"/>
      <c r="Z935" s="157"/>
    </row>
    <row r="936">
      <c r="D936" s="157"/>
      <c r="E936" s="67"/>
      <c r="I936" s="157"/>
      <c r="M936" s="157"/>
      <c r="Q936" s="157"/>
      <c r="U936" s="157"/>
      <c r="V936" s="67"/>
      <c r="Z936" s="157"/>
    </row>
    <row r="937">
      <c r="D937" s="157"/>
      <c r="E937" s="67"/>
      <c r="I937" s="157"/>
      <c r="M937" s="157"/>
      <c r="Q937" s="157"/>
      <c r="U937" s="157"/>
      <c r="V937" s="67"/>
      <c r="Z937" s="157"/>
    </row>
    <row r="938">
      <c r="D938" s="157"/>
      <c r="E938" s="67"/>
      <c r="I938" s="157"/>
      <c r="M938" s="157"/>
      <c r="Q938" s="157"/>
      <c r="U938" s="157"/>
      <c r="V938" s="67"/>
      <c r="Z938" s="157"/>
    </row>
    <row r="939">
      <c r="D939" s="157"/>
      <c r="E939" s="67"/>
      <c r="I939" s="157"/>
      <c r="M939" s="157"/>
      <c r="Q939" s="157"/>
      <c r="U939" s="157"/>
      <c r="V939" s="67"/>
      <c r="Z939" s="157"/>
    </row>
    <row r="940">
      <c r="D940" s="157"/>
      <c r="E940" s="67"/>
      <c r="I940" s="157"/>
      <c r="M940" s="157"/>
      <c r="Q940" s="157"/>
      <c r="U940" s="157"/>
      <c r="V940" s="67"/>
      <c r="Z940" s="157"/>
    </row>
    <row r="941">
      <c r="D941" s="157"/>
      <c r="E941" s="67"/>
      <c r="I941" s="157"/>
      <c r="M941" s="157"/>
      <c r="Q941" s="157"/>
      <c r="U941" s="157"/>
      <c r="V941" s="67"/>
      <c r="Z941" s="157"/>
    </row>
    <row r="942">
      <c r="D942" s="157"/>
      <c r="E942" s="67"/>
      <c r="I942" s="157"/>
      <c r="M942" s="157"/>
      <c r="Q942" s="157"/>
      <c r="U942" s="157"/>
      <c r="V942" s="67"/>
      <c r="Z942" s="157"/>
    </row>
    <row r="943">
      <c r="D943" s="157"/>
      <c r="E943" s="67"/>
      <c r="I943" s="157"/>
      <c r="M943" s="157"/>
      <c r="Q943" s="157"/>
      <c r="U943" s="157"/>
      <c r="V943" s="67"/>
      <c r="Z943" s="157"/>
    </row>
    <row r="944">
      <c r="D944" s="157"/>
      <c r="E944" s="67"/>
      <c r="I944" s="157"/>
      <c r="M944" s="157"/>
      <c r="Q944" s="157"/>
      <c r="U944" s="157"/>
      <c r="V944" s="67"/>
      <c r="Z944" s="157"/>
    </row>
    <row r="945">
      <c r="D945" s="157"/>
      <c r="E945" s="67"/>
      <c r="I945" s="157"/>
      <c r="M945" s="157"/>
      <c r="Q945" s="157"/>
      <c r="U945" s="157"/>
      <c r="V945" s="67"/>
      <c r="Z945" s="157"/>
    </row>
    <row r="946">
      <c r="D946" s="157"/>
      <c r="E946" s="67"/>
      <c r="I946" s="157"/>
      <c r="M946" s="157"/>
      <c r="Q946" s="157"/>
      <c r="U946" s="157"/>
      <c r="V946" s="67"/>
      <c r="Z946" s="157"/>
    </row>
    <row r="947">
      <c r="D947" s="157"/>
      <c r="E947" s="67"/>
      <c r="I947" s="157"/>
      <c r="M947" s="157"/>
      <c r="Q947" s="157"/>
      <c r="U947" s="157"/>
      <c r="V947" s="67"/>
      <c r="Z947" s="157"/>
    </row>
    <row r="948">
      <c r="D948" s="157"/>
      <c r="E948" s="67"/>
      <c r="I948" s="157"/>
      <c r="M948" s="157"/>
      <c r="Q948" s="157"/>
      <c r="U948" s="157"/>
      <c r="V948" s="67"/>
      <c r="Z948" s="157"/>
    </row>
    <row r="949">
      <c r="D949" s="157"/>
      <c r="E949" s="67"/>
      <c r="I949" s="157"/>
      <c r="M949" s="157"/>
      <c r="Q949" s="157"/>
      <c r="U949" s="157"/>
      <c r="V949" s="67"/>
      <c r="Z949" s="157"/>
    </row>
    <row r="950">
      <c r="D950" s="157"/>
      <c r="E950" s="67"/>
      <c r="I950" s="157"/>
      <c r="M950" s="157"/>
      <c r="Q950" s="157"/>
      <c r="U950" s="157"/>
      <c r="V950" s="67"/>
      <c r="Z950" s="157"/>
    </row>
    <row r="951">
      <c r="D951" s="157"/>
      <c r="E951" s="67"/>
      <c r="I951" s="157"/>
      <c r="M951" s="157"/>
      <c r="Q951" s="157"/>
      <c r="U951" s="157"/>
      <c r="V951" s="67"/>
      <c r="Z951" s="157"/>
    </row>
    <row r="952">
      <c r="D952" s="157"/>
      <c r="E952" s="67"/>
      <c r="I952" s="157"/>
      <c r="M952" s="157"/>
      <c r="Q952" s="157"/>
      <c r="U952" s="157"/>
      <c r="V952" s="67"/>
      <c r="Z952" s="157"/>
    </row>
    <row r="953">
      <c r="D953" s="157"/>
      <c r="E953" s="67"/>
      <c r="I953" s="157"/>
      <c r="M953" s="157"/>
      <c r="Q953" s="157"/>
      <c r="U953" s="157"/>
      <c r="V953" s="67"/>
      <c r="Z953" s="157"/>
    </row>
    <row r="954">
      <c r="D954" s="157"/>
      <c r="E954" s="67"/>
      <c r="I954" s="157"/>
      <c r="M954" s="157"/>
      <c r="Q954" s="157"/>
      <c r="U954" s="157"/>
      <c r="V954" s="67"/>
      <c r="Z954" s="157"/>
    </row>
    <row r="955">
      <c r="D955" s="157"/>
      <c r="E955" s="67"/>
      <c r="I955" s="157"/>
      <c r="M955" s="157"/>
      <c r="Q955" s="157"/>
      <c r="U955" s="157"/>
      <c r="V955" s="67"/>
      <c r="Z955" s="157"/>
    </row>
    <row r="956">
      <c r="D956" s="157"/>
      <c r="E956" s="67"/>
      <c r="I956" s="157"/>
      <c r="M956" s="157"/>
      <c r="Q956" s="157"/>
      <c r="U956" s="157"/>
      <c r="V956" s="67"/>
      <c r="Z956" s="157"/>
    </row>
    <row r="957">
      <c r="D957" s="157"/>
      <c r="E957" s="67"/>
      <c r="I957" s="157"/>
      <c r="M957" s="157"/>
      <c r="Q957" s="157"/>
      <c r="U957" s="157"/>
      <c r="V957" s="67"/>
      <c r="Z957" s="157"/>
    </row>
    <row r="958">
      <c r="D958" s="157"/>
      <c r="E958" s="67"/>
      <c r="I958" s="157"/>
      <c r="M958" s="157"/>
      <c r="Q958" s="157"/>
      <c r="U958" s="157"/>
      <c r="V958" s="67"/>
      <c r="Z958" s="157"/>
    </row>
    <row r="959">
      <c r="D959" s="157"/>
      <c r="E959" s="67"/>
      <c r="I959" s="157"/>
      <c r="M959" s="157"/>
      <c r="Q959" s="157"/>
      <c r="U959" s="157"/>
      <c r="V959" s="67"/>
      <c r="Z959" s="157"/>
    </row>
    <row r="960">
      <c r="D960" s="157"/>
      <c r="E960" s="67"/>
      <c r="I960" s="157"/>
      <c r="M960" s="157"/>
      <c r="Q960" s="157"/>
      <c r="U960" s="157"/>
      <c r="V960" s="67"/>
      <c r="Z960" s="157"/>
    </row>
    <row r="961">
      <c r="D961" s="157"/>
      <c r="E961" s="67"/>
      <c r="I961" s="157"/>
      <c r="M961" s="157"/>
      <c r="Q961" s="157"/>
      <c r="U961" s="157"/>
      <c r="V961" s="67"/>
      <c r="Z961" s="157"/>
    </row>
    <row r="962">
      <c r="D962" s="157"/>
      <c r="E962" s="67"/>
      <c r="I962" s="157"/>
      <c r="M962" s="157"/>
      <c r="Q962" s="157"/>
      <c r="U962" s="157"/>
      <c r="V962" s="67"/>
      <c r="Z962" s="157"/>
    </row>
    <row r="963">
      <c r="D963" s="157"/>
      <c r="E963" s="67"/>
      <c r="I963" s="157"/>
      <c r="M963" s="157"/>
      <c r="Q963" s="157"/>
      <c r="U963" s="157"/>
      <c r="V963" s="67"/>
      <c r="Z963" s="157"/>
    </row>
    <row r="964">
      <c r="D964" s="157"/>
      <c r="E964" s="67"/>
      <c r="I964" s="157"/>
      <c r="M964" s="157"/>
      <c r="Q964" s="157"/>
      <c r="U964" s="157"/>
      <c r="V964" s="67"/>
      <c r="Z964" s="157"/>
    </row>
    <row r="965">
      <c r="D965" s="157"/>
      <c r="E965" s="67"/>
      <c r="I965" s="157"/>
      <c r="M965" s="157"/>
      <c r="Q965" s="157"/>
      <c r="U965" s="157"/>
      <c r="V965" s="67"/>
      <c r="Z965" s="157"/>
    </row>
    <row r="966">
      <c r="D966" s="157"/>
      <c r="E966" s="67"/>
      <c r="I966" s="157"/>
      <c r="M966" s="157"/>
      <c r="Q966" s="157"/>
      <c r="U966" s="157"/>
      <c r="V966" s="67"/>
      <c r="Z966" s="157"/>
    </row>
    <row r="967">
      <c r="D967" s="157"/>
      <c r="E967" s="67"/>
      <c r="I967" s="157"/>
      <c r="M967" s="157"/>
      <c r="Q967" s="157"/>
      <c r="U967" s="157"/>
      <c r="V967" s="67"/>
      <c r="Z967" s="157"/>
    </row>
    <row r="968">
      <c r="D968" s="157"/>
      <c r="E968" s="67"/>
      <c r="I968" s="157"/>
      <c r="M968" s="157"/>
      <c r="Q968" s="157"/>
      <c r="U968" s="157"/>
      <c r="V968" s="67"/>
      <c r="Z968" s="157"/>
    </row>
    <row r="969">
      <c r="D969" s="157"/>
      <c r="E969" s="67"/>
      <c r="I969" s="157"/>
      <c r="M969" s="157"/>
      <c r="Q969" s="157"/>
      <c r="U969" s="157"/>
      <c r="V969" s="67"/>
      <c r="Z969" s="157"/>
    </row>
    <row r="970">
      <c r="D970" s="157"/>
      <c r="E970" s="67"/>
      <c r="I970" s="157"/>
      <c r="M970" s="157"/>
      <c r="Q970" s="157"/>
      <c r="U970" s="157"/>
      <c r="V970" s="67"/>
      <c r="Z970" s="157"/>
    </row>
    <row r="971">
      <c r="D971" s="157"/>
      <c r="E971" s="67"/>
      <c r="I971" s="157"/>
      <c r="M971" s="157"/>
      <c r="Q971" s="157"/>
      <c r="U971" s="157"/>
      <c r="V971" s="67"/>
      <c r="Z971" s="157"/>
    </row>
    <row r="972">
      <c r="D972" s="157"/>
      <c r="E972" s="67"/>
      <c r="I972" s="157"/>
      <c r="M972" s="157"/>
      <c r="Q972" s="157"/>
      <c r="U972" s="157"/>
      <c r="V972" s="67"/>
      <c r="Z972" s="157"/>
    </row>
    <row r="973">
      <c r="D973" s="157"/>
      <c r="E973" s="67"/>
      <c r="I973" s="157"/>
      <c r="M973" s="157"/>
      <c r="Q973" s="157"/>
      <c r="U973" s="157"/>
      <c r="V973" s="67"/>
      <c r="Z973" s="157"/>
    </row>
    <row r="974">
      <c r="D974" s="157"/>
      <c r="E974" s="67"/>
      <c r="I974" s="157"/>
      <c r="M974" s="157"/>
      <c r="Q974" s="157"/>
      <c r="U974" s="157"/>
      <c r="V974" s="67"/>
      <c r="Z974" s="157"/>
    </row>
    <row r="975">
      <c r="D975" s="157"/>
      <c r="E975" s="67"/>
      <c r="I975" s="157"/>
      <c r="M975" s="157"/>
      <c r="Q975" s="157"/>
      <c r="U975" s="157"/>
      <c r="V975" s="67"/>
      <c r="Z975" s="157"/>
    </row>
    <row r="976">
      <c r="D976" s="157"/>
      <c r="E976" s="67"/>
      <c r="I976" s="157"/>
      <c r="M976" s="157"/>
      <c r="Q976" s="157"/>
      <c r="U976" s="157"/>
      <c r="V976" s="67"/>
      <c r="Z976" s="157"/>
    </row>
    <row r="977">
      <c r="D977" s="157"/>
      <c r="E977" s="67"/>
      <c r="I977" s="157"/>
      <c r="M977" s="157"/>
      <c r="Q977" s="157"/>
      <c r="U977" s="157"/>
      <c r="V977" s="67"/>
      <c r="Z977" s="157"/>
    </row>
    <row r="978">
      <c r="D978" s="157"/>
      <c r="E978" s="67"/>
      <c r="I978" s="157"/>
      <c r="M978" s="157"/>
      <c r="Q978" s="157"/>
      <c r="U978" s="157"/>
      <c r="V978" s="67"/>
      <c r="Z978" s="157"/>
    </row>
    <row r="979">
      <c r="D979" s="157"/>
      <c r="E979" s="67"/>
      <c r="I979" s="157"/>
      <c r="M979" s="157"/>
      <c r="Q979" s="157"/>
      <c r="U979" s="157"/>
      <c r="V979" s="67"/>
      <c r="Z979" s="157"/>
    </row>
    <row r="980">
      <c r="D980" s="157"/>
      <c r="E980" s="67"/>
      <c r="I980" s="157"/>
      <c r="M980" s="157"/>
      <c r="Q980" s="157"/>
      <c r="U980" s="157"/>
      <c r="V980" s="67"/>
      <c r="Z980" s="157"/>
    </row>
    <row r="981">
      <c r="D981" s="157"/>
      <c r="E981" s="67"/>
      <c r="I981" s="157"/>
      <c r="M981" s="157"/>
      <c r="Q981" s="157"/>
      <c r="U981" s="157"/>
      <c r="V981" s="67"/>
      <c r="Z981" s="157"/>
    </row>
    <row r="982">
      <c r="D982" s="157"/>
      <c r="E982" s="67"/>
      <c r="I982" s="157"/>
      <c r="M982" s="157"/>
      <c r="Q982" s="157"/>
      <c r="U982" s="157"/>
      <c r="V982" s="67"/>
      <c r="Z982" s="157"/>
    </row>
    <row r="983">
      <c r="D983" s="157"/>
      <c r="E983" s="67"/>
      <c r="I983" s="157"/>
      <c r="M983" s="157"/>
      <c r="Q983" s="157"/>
      <c r="U983" s="157"/>
      <c r="V983" s="67"/>
      <c r="Z983" s="157"/>
    </row>
    <row r="984">
      <c r="D984" s="157"/>
      <c r="E984" s="67"/>
      <c r="I984" s="157"/>
      <c r="M984" s="157"/>
      <c r="Q984" s="157"/>
      <c r="U984" s="157"/>
      <c r="V984" s="67"/>
      <c r="Z984" s="157"/>
    </row>
    <row r="985">
      <c r="D985" s="157"/>
      <c r="E985" s="67"/>
      <c r="I985" s="157"/>
      <c r="M985" s="157"/>
      <c r="Q985" s="157"/>
      <c r="U985" s="157"/>
      <c r="V985" s="67"/>
      <c r="Z985" s="157"/>
    </row>
    <row r="986">
      <c r="D986" s="157"/>
      <c r="E986" s="67"/>
      <c r="I986" s="157"/>
      <c r="M986" s="157"/>
      <c r="Q986" s="157"/>
      <c r="U986" s="157"/>
      <c r="V986" s="67"/>
      <c r="Z986" s="157"/>
    </row>
    <row r="987">
      <c r="D987" s="157"/>
      <c r="E987" s="67"/>
      <c r="I987" s="157"/>
      <c r="M987" s="157"/>
      <c r="Q987" s="157"/>
      <c r="U987" s="157"/>
      <c r="V987" s="67"/>
      <c r="Z987" s="157"/>
    </row>
    <row r="988">
      <c r="D988" s="157"/>
      <c r="E988" s="67"/>
      <c r="I988" s="157"/>
      <c r="M988" s="157"/>
      <c r="Q988" s="157"/>
      <c r="U988" s="157"/>
      <c r="V988" s="67"/>
      <c r="Z988" s="157"/>
    </row>
    <row r="989">
      <c r="D989" s="157"/>
      <c r="E989" s="67"/>
      <c r="I989" s="157"/>
      <c r="M989" s="157"/>
      <c r="Q989" s="157"/>
      <c r="U989" s="157"/>
      <c r="V989" s="67"/>
      <c r="Z989" s="157"/>
    </row>
    <row r="990">
      <c r="D990" s="157"/>
      <c r="E990" s="67"/>
      <c r="I990" s="157"/>
      <c r="M990" s="157"/>
      <c r="Q990" s="157"/>
      <c r="U990" s="157"/>
      <c r="V990" s="67"/>
      <c r="Z990" s="157"/>
    </row>
    <row r="991">
      <c r="D991" s="157"/>
      <c r="E991" s="67"/>
      <c r="I991" s="157"/>
      <c r="M991" s="157"/>
      <c r="Q991" s="157"/>
      <c r="U991" s="157"/>
      <c r="V991" s="67"/>
      <c r="Z991" s="157"/>
    </row>
    <row r="992">
      <c r="D992" s="157"/>
      <c r="E992" s="67"/>
      <c r="I992" s="157"/>
      <c r="M992" s="157"/>
      <c r="Q992" s="157"/>
      <c r="U992" s="157"/>
      <c r="V992" s="67"/>
      <c r="Z992" s="157"/>
    </row>
    <row r="993">
      <c r="D993" s="157"/>
      <c r="E993" s="67"/>
      <c r="I993" s="157"/>
      <c r="M993" s="157"/>
      <c r="Q993" s="157"/>
      <c r="U993" s="157"/>
      <c r="V993" s="67"/>
      <c r="Z993" s="157"/>
    </row>
    <row r="994">
      <c r="D994" s="157"/>
      <c r="E994" s="67"/>
      <c r="I994" s="157"/>
      <c r="M994" s="157"/>
      <c r="Q994" s="157"/>
      <c r="U994" s="157"/>
      <c r="V994" s="67"/>
      <c r="Z994" s="157"/>
    </row>
    <row r="995">
      <c r="D995" s="157"/>
      <c r="E995" s="67"/>
      <c r="I995" s="157"/>
      <c r="M995" s="157"/>
      <c r="Q995" s="157"/>
      <c r="U995" s="157"/>
      <c r="V995" s="67"/>
      <c r="Z995" s="157"/>
    </row>
    <row r="996">
      <c r="D996" s="157"/>
      <c r="E996" s="67"/>
      <c r="I996" s="157"/>
      <c r="M996" s="157"/>
      <c r="Q996" s="157"/>
      <c r="U996" s="157"/>
      <c r="V996" s="67"/>
      <c r="Z996" s="157"/>
    </row>
    <row r="997">
      <c r="D997" s="157"/>
      <c r="E997" s="67"/>
      <c r="I997" s="157"/>
      <c r="M997" s="157"/>
      <c r="Q997" s="157"/>
      <c r="U997" s="157"/>
      <c r="V997" s="67"/>
      <c r="Z997" s="157"/>
    </row>
  </sheetData>
  <mergeCells count="7">
    <mergeCell ref="A1:C1"/>
    <mergeCell ref="F1:H1"/>
    <mergeCell ref="J1:L1"/>
    <mergeCell ref="N1:P1"/>
    <mergeCell ref="R1:T1"/>
    <mergeCell ref="W1:Y1"/>
    <mergeCell ref="AA1:AC1"/>
  </mergeCells>
  <dataValidations>
    <dataValidation type="list" allowBlank="1" sqref="C3:C23 H3:H23 L3:L23 P3:P23 T3:T23 Y3:Y23 AC3:AC30">
      <formula1>'General Tags'!$A$2:$A$4</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FE2F3"/>
    <outlinePr summaryBelow="0" summaryRight="0"/>
  </sheetPr>
  <sheetViews>
    <sheetView workbookViewId="0"/>
  </sheetViews>
  <sheetFormatPr customHeight="1" defaultColWidth="12.63" defaultRowHeight="15.75"/>
  <cols>
    <col hidden="1" min="1" max="2" width="12.63"/>
    <col customWidth="1" hidden="1" min="3" max="3" width="22.13"/>
    <col customWidth="1" min="4" max="4" width="22.13"/>
    <col customWidth="1" min="5" max="5" width="28.0"/>
    <col customWidth="1" hidden="1" min="6" max="6" width="24.0"/>
    <col customWidth="1" min="7" max="7" width="13.38"/>
  </cols>
  <sheetData>
    <row r="1">
      <c r="A1" s="158" t="s">
        <v>3295</v>
      </c>
      <c r="B1" s="158" t="s">
        <v>3307</v>
      </c>
      <c r="C1" s="158" t="s">
        <v>3307</v>
      </c>
      <c r="D1" s="159" t="s">
        <v>6</v>
      </c>
      <c r="E1" s="159" t="s">
        <v>7</v>
      </c>
      <c r="F1" s="160" t="s">
        <v>3308</v>
      </c>
    </row>
    <row r="2">
      <c r="A2" s="1" t="s">
        <v>3305</v>
      </c>
      <c r="B2" s="1" t="s">
        <v>3309</v>
      </c>
      <c r="C2" s="1" t="s">
        <v>3309</v>
      </c>
      <c r="D2" s="1" t="s">
        <v>91</v>
      </c>
      <c r="E2" s="1" t="s">
        <v>3310</v>
      </c>
      <c r="F2" s="8" t="str">
        <f t="array" ref="F2:F1000">SORT(E2:E1000)</f>
        <v>Analysis of load test results</v>
      </c>
    </row>
    <row r="3">
      <c r="A3" s="1" t="s">
        <v>3304</v>
      </c>
      <c r="B3" s="1" t="s">
        <v>3311</v>
      </c>
      <c r="C3" s="1" t="s">
        <v>3311</v>
      </c>
      <c r="D3" s="1" t="s">
        <v>44</v>
      </c>
      <c r="E3" s="1" t="s">
        <v>2028</v>
      </c>
      <c r="F3" s="8" t="s">
        <v>1034</v>
      </c>
    </row>
    <row r="4">
      <c r="A4" s="1" t="s">
        <v>3297</v>
      </c>
      <c r="C4" s="1"/>
      <c r="D4" s="1" t="s">
        <v>20</v>
      </c>
      <c r="E4" s="1" t="s">
        <v>3020</v>
      </c>
      <c r="F4" s="8" t="s">
        <v>1560</v>
      </c>
    </row>
    <row r="5">
      <c r="C5" s="1"/>
      <c r="D5" s="1" t="s">
        <v>106</v>
      </c>
      <c r="E5" s="1" t="s">
        <v>1498</v>
      </c>
      <c r="F5" s="8" t="s">
        <v>3310</v>
      </c>
    </row>
    <row r="6">
      <c r="C6" s="1"/>
      <c r="D6" s="1" t="s">
        <v>14</v>
      </c>
      <c r="E6" s="1" t="s">
        <v>3312</v>
      </c>
      <c r="F6" s="8" t="s">
        <v>2028</v>
      </c>
    </row>
    <row r="7">
      <c r="C7" s="1"/>
      <c r="D7" s="1" t="s">
        <v>54</v>
      </c>
      <c r="E7" s="1" t="s">
        <v>488</v>
      </c>
      <c r="F7" s="8" t="s">
        <v>3020</v>
      </c>
    </row>
    <row r="8">
      <c r="C8" s="1"/>
      <c r="D8" s="1" t="s">
        <v>39</v>
      </c>
      <c r="E8" s="1" t="s">
        <v>830</v>
      </c>
      <c r="F8" s="8" t="s">
        <v>15</v>
      </c>
    </row>
    <row r="9">
      <c r="C9" s="1"/>
      <c r="D9" s="1" t="s">
        <v>506</v>
      </c>
      <c r="E9" s="1" t="s">
        <v>3313</v>
      </c>
      <c r="F9" s="8" t="s">
        <v>669</v>
      </c>
    </row>
    <row r="10">
      <c r="C10" s="1"/>
      <c r="D10" s="1" t="s">
        <v>2425</v>
      </c>
      <c r="E10" s="1" t="s">
        <v>3314</v>
      </c>
      <c r="F10" s="8" t="s">
        <v>990</v>
      </c>
    </row>
    <row r="11">
      <c r="C11" s="1"/>
      <c r="D11" s="1" t="s">
        <v>2388</v>
      </c>
      <c r="E11" s="1" t="s">
        <v>452</v>
      </c>
      <c r="F11" s="8" t="s">
        <v>938</v>
      </c>
    </row>
    <row r="12">
      <c r="E12" s="1" t="s">
        <v>1867</v>
      </c>
      <c r="F12" s="8" t="s">
        <v>1498</v>
      </c>
    </row>
    <row r="13">
      <c r="E13" s="1" t="s">
        <v>457</v>
      </c>
      <c r="F13" s="8" t="s">
        <v>962</v>
      </c>
    </row>
    <row r="14">
      <c r="E14" s="1" t="s">
        <v>2849</v>
      </c>
      <c r="F14" s="8" t="s">
        <v>3312</v>
      </c>
    </row>
    <row r="15">
      <c r="E15" s="1" t="s">
        <v>3315</v>
      </c>
      <c r="F15" s="8" t="s">
        <v>1160</v>
      </c>
    </row>
    <row r="16">
      <c r="E16" s="1" t="s">
        <v>3316</v>
      </c>
      <c r="F16" s="8" t="s">
        <v>488</v>
      </c>
    </row>
    <row r="17">
      <c r="E17" s="1" t="s">
        <v>3317</v>
      </c>
      <c r="F17" s="8" t="s">
        <v>830</v>
      </c>
    </row>
    <row r="18">
      <c r="E18" s="1" t="s">
        <v>806</v>
      </c>
      <c r="F18" s="8" t="s">
        <v>428</v>
      </c>
    </row>
    <row r="19">
      <c r="E19" s="1" t="s">
        <v>3318</v>
      </c>
      <c r="F19" s="8" t="s">
        <v>3313</v>
      </c>
    </row>
    <row r="20">
      <c r="E20" s="1" t="s">
        <v>3319</v>
      </c>
      <c r="F20" s="8" t="s">
        <v>3314</v>
      </c>
    </row>
    <row r="21">
      <c r="E21" s="1" t="s">
        <v>3320</v>
      </c>
      <c r="F21" s="8" t="s">
        <v>452</v>
      </c>
    </row>
    <row r="22">
      <c r="E22" s="1" t="s">
        <v>1780</v>
      </c>
      <c r="F22" s="8" t="s">
        <v>1867</v>
      </c>
    </row>
    <row r="23">
      <c r="E23" s="1" t="s">
        <v>3321</v>
      </c>
      <c r="F23" s="8" t="s">
        <v>457</v>
      </c>
    </row>
    <row r="24">
      <c r="E24" s="1" t="s">
        <v>3322</v>
      </c>
      <c r="F24" s="8" t="s">
        <v>2849</v>
      </c>
    </row>
    <row r="25">
      <c r="E25" s="1" t="s">
        <v>1305</v>
      </c>
      <c r="F25" s="8" t="s">
        <v>2665</v>
      </c>
    </row>
    <row r="26">
      <c r="E26" s="1" t="s">
        <v>3323</v>
      </c>
      <c r="F26" s="8" t="s">
        <v>880</v>
      </c>
    </row>
    <row r="27">
      <c r="E27" s="1" t="s">
        <v>3324</v>
      </c>
      <c r="F27" s="8" t="s">
        <v>3315</v>
      </c>
    </row>
    <row r="28">
      <c r="E28" s="1" t="s">
        <v>3325</v>
      </c>
      <c r="F28" s="8" t="s">
        <v>3316</v>
      </c>
    </row>
    <row r="29">
      <c r="E29" s="1" t="s">
        <v>3326</v>
      </c>
      <c r="F29" s="8" t="s">
        <v>3317</v>
      </c>
    </row>
    <row r="30">
      <c r="E30" s="1" t="s">
        <v>69</v>
      </c>
      <c r="F30" s="8" t="s">
        <v>1292</v>
      </c>
    </row>
    <row r="31">
      <c r="E31" s="1" t="s">
        <v>3327</v>
      </c>
      <c r="F31" s="8" t="s">
        <v>3064</v>
      </c>
    </row>
    <row r="32">
      <c r="E32" s="1" t="s">
        <v>372</v>
      </c>
      <c r="F32" s="8" t="s">
        <v>806</v>
      </c>
    </row>
    <row r="33">
      <c r="E33" s="1" t="s">
        <v>1522</v>
      </c>
      <c r="F33" s="8" t="s">
        <v>3318</v>
      </c>
    </row>
    <row r="34">
      <c r="E34" s="1" t="s">
        <v>428</v>
      </c>
      <c r="F34" s="8" t="s">
        <v>3319</v>
      </c>
      <c r="G34" s="161" t="s">
        <v>3328</v>
      </c>
    </row>
    <row r="35">
      <c r="E35" s="1" t="s">
        <v>15</v>
      </c>
      <c r="F35" s="8" t="s">
        <v>3320</v>
      </c>
      <c r="G35" s="161" t="s">
        <v>3328</v>
      </c>
    </row>
    <row r="36">
      <c r="E36" s="1" t="s">
        <v>1333</v>
      </c>
      <c r="F36" s="8" t="s">
        <v>1186</v>
      </c>
      <c r="G36" s="161" t="s">
        <v>3328</v>
      </c>
    </row>
    <row r="37">
      <c r="E37" s="1" t="s">
        <v>938</v>
      </c>
      <c r="F37" s="8" t="s">
        <v>260</v>
      </c>
      <c r="G37" s="162" t="s">
        <v>3328</v>
      </c>
    </row>
    <row r="38">
      <c r="E38" s="1" t="s">
        <v>289</v>
      </c>
      <c r="F38" s="8" t="s">
        <v>547</v>
      </c>
      <c r="G38" s="162" t="s">
        <v>3328</v>
      </c>
    </row>
    <row r="39">
      <c r="E39" s="1" t="s">
        <v>2002</v>
      </c>
      <c r="F39" s="8" t="s">
        <v>2332</v>
      </c>
      <c r="G39" s="162" t="s">
        <v>3328</v>
      </c>
    </row>
    <row r="40">
      <c r="E40" s="1" t="s">
        <v>1475</v>
      </c>
      <c r="F40" s="8" t="s">
        <v>1780</v>
      </c>
      <c r="G40" s="162" t="s">
        <v>3328</v>
      </c>
    </row>
    <row r="41">
      <c r="E41" s="1" t="s">
        <v>547</v>
      </c>
      <c r="F41" s="8" t="s">
        <v>577</v>
      </c>
      <c r="G41" s="162" t="s">
        <v>3328</v>
      </c>
    </row>
    <row r="42">
      <c r="E42" s="1" t="s">
        <v>603</v>
      </c>
      <c r="F42" s="8" t="s">
        <v>3026</v>
      </c>
      <c r="G42" s="162" t="s">
        <v>3328</v>
      </c>
    </row>
    <row r="43">
      <c r="E43" s="1" t="s">
        <v>691</v>
      </c>
      <c r="F43" s="8" t="s">
        <v>382</v>
      </c>
      <c r="G43" s="162" t="s">
        <v>3328</v>
      </c>
    </row>
    <row r="44">
      <c r="E44" s="1" t="s">
        <v>1246</v>
      </c>
      <c r="F44" s="8" t="s">
        <v>2188</v>
      </c>
      <c r="G44" s="162" t="s">
        <v>3328</v>
      </c>
    </row>
    <row r="45">
      <c r="E45" s="1" t="s">
        <v>1186</v>
      </c>
      <c r="F45" s="8" t="s">
        <v>2680</v>
      </c>
      <c r="G45" s="162" t="s">
        <v>3328</v>
      </c>
    </row>
    <row r="46">
      <c r="E46" s="1" t="s">
        <v>669</v>
      </c>
      <c r="F46" s="8" t="s">
        <v>3321</v>
      </c>
      <c r="G46" s="162" t="s">
        <v>3328</v>
      </c>
    </row>
    <row r="47">
      <c r="E47" s="1" t="s">
        <v>322</v>
      </c>
      <c r="F47" s="8" t="s">
        <v>603</v>
      </c>
      <c r="G47" s="162" t="s">
        <v>3328</v>
      </c>
    </row>
    <row r="48">
      <c r="E48" s="1" t="s">
        <v>1560</v>
      </c>
      <c r="F48" s="8" t="s">
        <v>2988</v>
      </c>
      <c r="G48" s="162" t="s">
        <v>3328</v>
      </c>
    </row>
    <row r="49">
      <c r="E49" s="1" t="s">
        <v>3026</v>
      </c>
      <c r="F49" s="8" t="s">
        <v>1826</v>
      </c>
      <c r="G49" s="162" t="s">
        <v>3328</v>
      </c>
    </row>
    <row r="50">
      <c r="E50" s="1" t="s">
        <v>1716</v>
      </c>
      <c r="F50" s="8" t="s">
        <v>691</v>
      </c>
      <c r="G50" s="162" t="s">
        <v>3328</v>
      </c>
    </row>
    <row r="51">
      <c r="E51" s="1" t="s">
        <v>2933</v>
      </c>
      <c r="F51" s="8" t="s">
        <v>322</v>
      </c>
      <c r="G51" s="162" t="s">
        <v>3328</v>
      </c>
    </row>
    <row r="52">
      <c r="E52" s="1" t="s">
        <v>1399</v>
      </c>
      <c r="F52" s="8" t="s">
        <v>3322</v>
      </c>
      <c r="G52" s="162" t="s">
        <v>3328</v>
      </c>
    </row>
    <row r="53">
      <c r="E53" s="1" t="s">
        <v>3064</v>
      </c>
      <c r="F53" s="8" t="s">
        <v>1305</v>
      </c>
      <c r="G53" s="162" t="s">
        <v>3328</v>
      </c>
    </row>
    <row r="54">
      <c r="E54" s="1" t="s">
        <v>577</v>
      </c>
      <c r="F54" s="8" t="s">
        <v>640</v>
      </c>
      <c r="G54" s="162" t="s">
        <v>3328</v>
      </c>
    </row>
    <row r="55">
      <c r="E55" s="1" t="s">
        <v>194</v>
      </c>
      <c r="F55" s="8" t="s">
        <v>1118</v>
      </c>
      <c r="G55" s="162" t="s">
        <v>3328</v>
      </c>
    </row>
    <row r="56">
      <c r="E56" s="1" t="s">
        <v>1826</v>
      </c>
      <c r="F56" s="8" t="s">
        <v>3323</v>
      </c>
      <c r="G56" s="162" t="s">
        <v>3328</v>
      </c>
    </row>
    <row r="57">
      <c r="E57" s="1" t="s">
        <v>2188</v>
      </c>
      <c r="F57" s="8" t="s">
        <v>3324</v>
      </c>
      <c r="G57" s="162" t="s">
        <v>3328</v>
      </c>
    </row>
    <row r="58">
      <c r="E58" s="1" t="s">
        <v>2988</v>
      </c>
      <c r="F58" s="8" t="s">
        <v>521</v>
      </c>
      <c r="G58" s="162" t="s">
        <v>3328</v>
      </c>
    </row>
    <row r="59">
      <c r="E59" s="1" t="s">
        <v>1367</v>
      </c>
      <c r="F59" s="8" t="s">
        <v>194</v>
      </c>
      <c r="G59" s="162" t="s">
        <v>3328</v>
      </c>
    </row>
    <row r="60">
      <c r="E60" s="55" t="s">
        <v>880</v>
      </c>
      <c r="F60" s="8" t="s">
        <v>3325</v>
      </c>
      <c r="G60" s="162" t="s">
        <v>3328</v>
      </c>
    </row>
    <row r="61">
      <c r="E61" s="1" t="s">
        <v>2665</v>
      </c>
      <c r="F61" s="8" t="s">
        <v>1246</v>
      </c>
      <c r="G61" s="162" t="s">
        <v>3328</v>
      </c>
    </row>
    <row r="62">
      <c r="E62" s="1" t="s">
        <v>1118</v>
      </c>
      <c r="F62" s="8" t="s">
        <v>3326</v>
      </c>
      <c r="G62" s="162" t="s">
        <v>3328</v>
      </c>
    </row>
    <row r="63">
      <c r="E63" s="1" t="s">
        <v>990</v>
      </c>
      <c r="F63" s="8" t="s">
        <v>69</v>
      </c>
      <c r="G63" s="162" t="s">
        <v>3328</v>
      </c>
    </row>
    <row r="64">
      <c r="E64" s="1" t="s">
        <v>521</v>
      </c>
      <c r="F64" s="8" t="s">
        <v>3327</v>
      </c>
      <c r="G64" s="162" t="s">
        <v>3328</v>
      </c>
    </row>
    <row r="65">
      <c r="E65" s="1" t="s">
        <v>347</v>
      </c>
      <c r="F65" s="8" t="s">
        <v>1333</v>
      </c>
      <c r="G65" s="162" t="s">
        <v>3328</v>
      </c>
    </row>
    <row r="66">
      <c r="E66" s="1" t="s">
        <v>962</v>
      </c>
      <c r="F66" s="8" t="s">
        <v>2002</v>
      </c>
      <c r="G66" s="162" t="s">
        <v>3328</v>
      </c>
    </row>
    <row r="67">
      <c r="E67" s="1" t="s">
        <v>382</v>
      </c>
      <c r="F67" s="8" t="s">
        <v>1399</v>
      </c>
      <c r="G67" s="162" t="s">
        <v>3328</v>
      </c>
    </row>
    <row r="68">
      <c r="E68" s="1" t="s">
        <v>2680</v>
      </c>
      <c r="F68" s="8" t="s">
        <v>347</v>
      </c>
      <c r="G68" s="162" t="s">
        <v>3328</v>
      </c>
    </row>
    <row r="69">
      <c r="E69" s="1" t="s">
        <v>1034</v>
      </c>
      <c r="F69" s="8" t="s">
        <v>289</v>
      </c>
      <c r="G69" s="162" t="s">
        <v>3328</v>
      </c>
    </row>
    <row r="70">
      <c r="E70" s="1" t="s">
        <v>260</v>
      </c>
      <c r="F70" s="8" t="s">
        <v>2933</v>
      </c>
      <c r="G70" s="162" t="s">
        <v>3328</v>
      </c>
    </row>
    <row r="71">
      <c r="E71" s="1" t="s">
        <v>1160</v>
      </c>
      <c r="F71" s="8" t="s">
        <v>372</v>
      </c>
      <c r="G71" s="162" t="s">
        <v>3328</v>
      </c>
    </row>
    <row r="72">
      <c r="E72" s="1" t="s">
        <v>1292</v>
      </c>
      <c r="F72" s="8" t="s">
        <v>1367</v>
      </c>
      <c r="G72" s="162" t="s">
        <v>3328</v>
      </c>
    </row>
    <row r="73">
      <c r="E73" s="1" t="s">
        <v>2332</v>
      </c>
      <c r="F73" s="8" t="s">
        <v>1522</v>
      </c>
      <c r="G73" s="162" t="s">
        <v>3328</v>
      </c>
    </row>
    <row r="74">
      <c r="E74" s="22" t="s">
        <v>640</v>
      </c>
      <c r="F74" s="8" t="s">
        <v>1716</v>
      </c>
      <c r="G74" s="162" t="s">
        <v>3328</v>
      </c>
    </row>
    <row r="75">
      <c r="F75" s="8"/>
      <c r="G75" s="162" t="s">
        <v>3328</v>
      </c>
    </row>
    <row r="76">
      <c r="F76" s="8"/>
      <c r="G76" s="162" t="s">
        <v>3328</v>
      </c>
    </row>
    <row r="77">
      <c r="F77" s="8"/>
      <c r="G77" s="162" t="s">
        <v>3328</v>
      </c>
    </row>
    <row r="78">
      <c r="F78" s="8"/>
      <c r="G78" s="162" t="s">
        <v>3328</v>
      </c>
    </row>
    <row r="79">
      <c r="F79" s="8"/>
      <c r="G79" s="162" t="s">
        <v>3328</v>
      </c>
    </row>
    <row r="80">
      <c r="F80" s="8"/>
      <c r="G80" s="162" t="s">
        <v>3328</v>
      </c>
    </row>
    <row r="81">
      <c r="F81" s="8"/>
      <c r="G81" s="162" t="s">
        <v>3328</v>
      </c>
    </row>
    <row r="82">
      <c r="F82" s="8"/>
      <c r="G82" s="162" t="s">
        <v>3328</v>
      </c>
    </row>
    <row r="83">
      <c r="F83" s="8"/>
    </row>
    <row r="84">
      <c r="F84" s="8"/>
    </row>
    <row r="85">
      <c r="F85" s="8"/>
    </row>
    <row r="86">
      <c r="F86" s="8"/>
    </row>
    <row r="87">
      <c r="F87" s="8"/>
    </row>
    <row r="88">
      <c r="F88" s="8"/>
    </row>
    <row r="89">
      <c r="F89" s="8"/>
    </row>
    <row r="90">
      <c r="F90" s="8"/>
    </row>
    <row r="91">
      <c r="F91" s="8"/>
    </row>
    <row r="92">
      <c r="F92" s="8"/>
    </row>
    <row r="93">
      <c r="F93" s="8"/>
    </row>
    <row r="94">
      <c r="F94" s="8"/>
    </row>
    <row r="95">
      <c r="F95" s="8"/>
    </row>
    <row r="96">
      <c r="F96" s="8"/>
    </row>
    <row r="97">
      <c r="F97" s="8"/>
    </row>
    <row r="98">
      <c r="F98" s="8"/>
    </row>
    <row r="99">
      <c r="F99" s="8"/>
    </row>
    <row r="100">
      <c r="F100" s="8"/>
    </row>
    <row r="101">
      <c r="F101" s="8"/>
    </row>
    <row r="102">
      <c r="F102" s="8"/>
    </row>
    <row r="103">
      <c r="F103" s="8"/>
    </row>
    <row r="104">
      <c r="F104" s="8"/>
    </row>
    <row r="105">
      <c r="F105" s="8"/>
    </row>
    <row r="106">
      <c r="F106" s="8"/>
    </row>
    <row r="107">
      <c r="F107" s="8"/>
    </row>
    <row r="108">
      <c r="F108" s="8"/>
    </row>
    <row r="109">
      <c r="F109" s="8"/>
    </row>
    <row r="110">
      <c r="F110" s="8"/>
    </row>
    <row r="111">
      <c r="F111" s="8"/>
    </row>
    <row r="112">
      <c r="F112" s="8"/>
    </row>
    <row r="113">
      <c r="F113" s="8"/>
    </row>
    <row r="114">
      <c r="F114" s="8"/>
    </row>
    <row r="115">
      <c r="F115" s="8"/>
    </row>
    <row r="116">
      <c r="F116" s="8"/>
    </row>
    <row r="117">
      <c r="F117" s="8"/>
    </row>
    <row r="118">
      <c r="F118" s="8"/>
    </row>
    <row r="119">
      <c r="F119" s="8"/>
    </row>
    <row r="120">
      <c r="F120" s="8"/>
    </row>
    <row r="121">
      <c r="F121" s="8"/>
    </row>
    <row r="122">
      <c r="F122" s="8"/>
    </row>
    <row r="123">
      <c r="F123" s="8"/>
    </row>
    <row r="124">
      <c r="F124" s="8"/>
    </row>
    <row r="125">
      <c r="F125" s="8"/>
    </row>
    <row r="126">
      <c r="F126" s="8"/>
    </row>
    <row r="127">
      <c r="F127" s="8"/>
    </row>
    <row r="128">
      <c r="F128" s="8"/>
    </row>
    <row r="129">
      <c r="F129" s="8"/>
    </row>
    <row r="130">
      <c r="F130" s="8"/>
    </row>
    <row r="131">
      <c r="F131" s="8"/>
    </row>
    <row r="132">
      <c r="F132" s="8"/>
    </row>
    <row r="133">
      <c r="F133" s="8"/>
    </row>
    <row r="134">
      <c r="F134" s="8"/>
    </row>
    <row r="135">
      <c r="F135" s="8"/>
    </row>
    <row r="136">
      <c r="F136" s="8"/>
    </row>
    <row r="137">
      <c r="F137" s="8"/>
    </row>
    <row r="138">
      <c r="F138" s="8"/>
    </row>
    <row r="139">
      <c r="F139" s="8"/>
    </row>
    <row r="140">
      <c r="F140" s="8"/>
    </row>
    <row r="141">
      <c r="F141" s="8"/>
    </row>
    <row r="142">
      <c r="F142" s="8"/>
    </row>
    <row r="143">
      <c r="F143" s="8"/>
    </row>
    <row r="144">
      <c r="F144" s="8"/>
    </row>
    <row r="145">
      <c r="F145" s="8"/>
    </row>
    <row r="146">
      <c r="F146" s="8"/>
    </row>
    <row r="147">
      <c r="F147" s="8"/>
    </row>
    <row r="148">
      <c r="F148" s="8"/>
    </row>
    <row r="149">
      <c r="F149" s="8"/>
    </row>
    <row r="150">
      <c r="F150" s="8"/>
    </row>
    <row r="151">
      <c r="F151" s="8"/>
    </row>
    <row r="152">
      <c r="F152" s="8"/>
    </row>
    <row r="153">
      <c r="F153" s="8"/>
    </row>
    <row r="154">
      <c r="F154" s="8"/>
    </row>
    <row r="155">
      <c r="F155" s="8"/>
    </row>
    <row r="156">
      <c r="F156" s="8"/>
    </row>
    <row r="157">
      <c r="F157" s="8"/>
    </row>
    <row r="158">
      <c r="F158" s="8"/>
    </row>
    <row r="159">
      <c r="F159" s="8"/>
    </row>
    <row r="160">
      <c r="F160" s="8"/>
    </row>
    <row r="161">
      <c r="F161" s="8"/>
    </row>
    <row r="162">
      <c r="F162" s="8"/>
    </row>
    <row r="163">
      <c r="F163" s="8"/>
    </row>
    <row r="164">
      <c r="F164" s="8"/>
    </row>
    <row r="165">
      <c r="F165" s="8"/>
    </row>
    <row r="166">
      <c r="F166" s="8"/>
    </row>
    <row r="167">
      <c r="F167" s="8"/>
    </row>
    <row r="168">
      <c r="F168" s="8"/>
    </row>
    <row r="169">
      <c r="F169" s="8"/>
    </row>
    <row r="170">
      <c r="F170" s="8"/>
    </row>
    <row r="171">
      <c r="F171" s="8"/>
    </row>
    <row r="172">
      <c r="F172" s="8"/>
    </row>
    <row r="173">
      <c r="F173" s="8"/>
    </row>
    <row r="174">
      <c r="F174" s="8"/>
    </row>
    <row r="175">
      <c r="F175" s="8"/>
    </row>
    <row r="176">
      <c r="F176" s="8"/>
    </row>
    <row r="177">
      <c r="F177" s="8"/>
    </row>
    <row r="178">
      <c r="F178" s="8"/>
    </row>
    <row r="179">
      <c r="F179" s="8"/>
    </row>
    <row r="180">
      <c r="F180" s="8"/>
    </row>
    <row r="181">
      <c r="F181" s="8"/>
    </row>
    <row r="182">
      <c r="F182" s="8"/>
    </row>
    <row r="183">
      <c r="F183" s="8"/>
    </row>
    <row r="184">
      <c r="F184" s="8"/>
    </row>
    <row r="185">
      <c r="F185" s="8"/>
    </row>
    <row r="186">
      <c r="F186" s="8"/>
    </row>
    <row r="187">
      <c r="F187" s="8"/>
    </row>
    <row r="188">
      <c r="F188" s="8"/>
    </row>
    <row r="189">
      <c r="F189" s="8"/>
    </row>
    <row r="190">
      <c r="F190" s="8"/>
    </row>
    <row r="191">
      <c r="F191" s="8"/>
    </row>
    <row r="192">
      <c r="F192" s="8"/>
    </row>
    <row r="193">
      <c r="F193" s="8"/>
    </row>
    <row r="194">
      <c r="F194" s="8"/>
    </row>
    <row r="195">
      <c r="F195" s="8"/>
    </row>
    <row r="196">
      <c r="F196" s="8"/>
    </row>
    <row r="197">
      <c r="F197" s="8"/>
    </row>
    <row r="198">
      <c r="F198" s="8"/>
    </row>
    <row r="199">
      <c r="F199" s="8"/>
    </row>
    <row r="200">
      <c r="F200" s="8"/>
    </row>
    <row r="201">
      <c r="F201" s="8"/>
    </row>
    <row r="202">
      <c r="F202" s="8"/>
    </row>
    <row r="203">
      <c r="F203" s="8"/>
    </row>
    <row r="204">
      <c r="F204" s="8"/>
    </row>
    <row r="205">
      <c r="F205" s="8"/>
    </row>
    <row r="206">
      <c r="F206" s="8"/>
    </row>
    <row r="207">
      <c r="F207" s="8"/>
    </row>
    <row r="208">
      <c r="F208" s="8"/>
    </row>
    <row r="209">
      <c r="F209" s="8"/>
    </row>
    <row r="210">
      <c r="F210" s="8"/>
    </row>
    <row r="211">
      <c r="F211" s="8"/>
    </row>
    <row r="212">
      <c r="F212" s="8"/>
    </row>
    <row r="213">
      <c r="F213" s="8"/>
    </row>
    <row r="214">
      <c r="F214" s="8"/>
    </row>
    <row r="215">
      <c r="F215" s="8"/>
    </row>
    <row r="216">
      <c r="F216" s="8"/>
    </row>
    <row r="217">
      <c r="F217" s="8"/>
    </row>
    <row r="218">
      <c r="F218" s="8"/>
    </row>
    <row r="219">
      <c r="F219" s="8"/>
    </row>
    <row r="220">
      <c r="F220" s="8"/>
    </row>
    <row r="221">
      <c r="F221" s="8"/>
    </row>
    <row r="222">
      <c r="F222" s="8"/>
    </row>
    <row r="223">
      <c r="F223" s="8"/>
    </row>
    <row r="224">
      <c r="F224" s="8"/>
    </row>
    <row r="225">
      <c r="F225" s="8"/>
    </row>
    <row r="226">
      <c r="F226" s="8"/>
    </row>
    <row r="227">
      <c r="F227" s="8"/>
    </row>
    <row r="228">
      <c r="F228" s="8"/>
    </row>
    <row r="229">
      <c r="F229" s="8"/>
    </row>
    <row r="230">
      <c r="F230" s="8"/>
    </row>
    <row r="231">
      <c r="F231" s="8"/>
    </row>
    <row r="232">
      <c r="F232" s="8"/>
    </row>
    <row r="233">
      <c r="F233" s="8"/>
    </row>
    <row r="234">
      <c r="F234" s="8"/>
    </row>
    <row r="235">
      <c r="F235" s="8"/>
    </row>
    <row r="236">
      <c r="F236" s="8"/>
    </row>
    <row r="237">
      <c r="F237" s="8"/>
    </row>
    <row r="238">
      <c r="F238" s="8"/>
    </row>
    <row r="239">
      <c r="F239" s="8"/>
    </row>
    <row r="240">
      <c r="F240" s="8"/>
    </row>
    <row r="241">
      <c r="F241" s="8"/>
    </row>
    <row r="242">
      <c r="F242" s="8"/>
    </row>
    <row r="243">
      <c r="F243" s="8"/>
    </row>
    <row r="244">
      <c r="F244" s="8"/>
    </row>
    <row r="245">
      <c r="F245" s="8"/>
    </row>
    <row r="246">
      <c r="F246" s="8"/>
    </row>
    <row r="247">
      <c r="F247" s="8"/>
    </row>
    <row r="248">
      <c r="F248" s="8"/>
    </row>
    <row r="249">
      <c r="F249" s="8"/>
    </row>
    <row r="250">
      <c r="F250" s="8"/>
    </row>
    <row r="251">
      <c r="F251" s="8"/>
    </row>
    <row r="252">
      <c r="F252" s="8"/>
    </row>
    <row r="253">
      <c r="F253" s="8"/>
    </row>
    <row r="254">
      <c r="F254" s="8"/>
    </row>
    <row r="255">
      <c r="F255" s="8"/>
    </row>
    <row r="256">
      <c r="F256" s="8"/>
    </row>
    <row r="257">
      <c r="F257" s="8"/>
    </row>
    <row r="258">
      <c r="F258" s="8"/>
    </row>
    <row r="259">
      <c r="F259" s="8"/>
    </row>
    <row r="260">
      <c r="F260" s="8"/>
    </row>
    <row r="261">
      <c r="F261" s="8"/>
    </row>
    <row r="262">
      <c r="F262" s="8"/>
    </row>
    <row r="263">
      <c r="F263" s="8"/>
    </row>
    <row r="264">
      <c r="F264" s="8"/>
    </row>
    <row r="265">
      <c r="F265" s="8"/>
    </row>
    <row r="266">
      <c r="F266" s="8"/>
    </row>
    <row r="267">
      <c r="F267" s="8"/>
    </row>
    <row r="268">
      <c r="F268" s="8"/>
    </row>
    <row r="269">
      <c r="F269" s="8"/>
    </row>
    <row r="270">
      <c r="F270" s="8"/>
    </row>
    <row r="271">
      <c r="F271" s="8"/>
    </row>
    <row r="272">
      <c r="F272" s="8"/>
    </row>
    <row r="273">
      <c r="F273" s="8"/>
    </row>
    <row r="274">
      <c r="F274" s="8"/>
    </row>
    <row r="275">
      <c r="F275" s="8"/>
    </row>
    <row r="276">
      <c r="F276" s="8"/>
    </row>
    <row r="277">
      <c r="F277" s="8"/>
    </row>
    <row r="278">
      <c r="F278" s="8"/>
    </row>
    <row r="279">
      <c r="F279" s="8"/>
    </row>
    <row r="280">
      <c r="F280" s="8"/>
    </row>
    <row r="281">
      <c r="F281" s="8"/>
    </row>
    <row r="282">
      <c r="F282" s="8"/>
    </row>
    <row r="283">
      <c r="F283" s="8"/>
    </row>
    <row r="284">
      <c r="F284" s="8"/>
    </row>
    <row r="285">
      <c r="F285" s="8"/>
    </row>
    <row r="286">
      <c r="F286" s="8"/>
    </row>
    <row r="287">
      <c r="F287" s="8"/>
    </row>
    <row r="288">
      <c r="F288" s="8"/>
    </row>
    <row r="289">
      <c r="F289" s="8"/>
    </row>
    <row r="290">
      <c r="F290" s="8"/>
    </row>
    <row r="291">
      <c r="F291" s="8"/>
    </row>
    <row r="292">
      <c r="F292" s="8"/>
    </row>
    <row r="293">
      <c r="F293" s="8"/>
    </row>
    <row r="294">
      <c r="F294" s="8"/>
    </row>
    <row r="295">
      <c r="F295" s="8"/>
    </row>
    <row r="296">
      <c r="F296" s="8"/>
    </row>
    <row r="297">
      <c r="F297" s="8"/>
    </row>
    <row r="298">
      <c r="F298" s="8"/>
    </row>
    <row r="299">
      <c r="F299" s="8"/>
    </row>
    <row r="300">
      <c r="F300" s="8"/>
    </row>
    <row r="301">
      <c r="F301" s="8"/>
    </row>
    <row r="302">
      <c r="F302" s="8"/>
    </row>
    <row r="303">
      <c r="F303" s="8"/>
    </row>
    <row r="304">
      <c r="F304" s="8"/>
    </row>
    <row r="305">
      <c r="F305" s="8"/>
    </row>
    <row r="306">
      <c r="F306" s="8"/>
    </row>
    <row r="307">
      <c r="F307" s="8"/>
    </row>
    <row r="308">
      <c r="F308" s="8"/>
    </row>
    <row r="309">
      <c r="F309" s="8"/>
    </row>
    <row r="310">
      <c r="F310" s="8"/>
    </row>
    <row r="311">
      <c r="F311" s="8"/>
    </row>
    <row r="312">
      <c r="F312" s="8"/>
    </row>
    <row r="313">
      <c r="F313" s="8"/>
    </row>
    <row r="314">
      <c r="F314" s="8"/>
    </row>
    <row r="315">
      <c r="F315" s="8"/>
    </row>
    <row r="316">
      <c r="F316" s="8"/>
    </row>
    <row r="317">
      <c r="F317" s="8"/>
    </row>
    <row r="318">
      <c r="F318" s="8"/>
    </row>
    <row r="319">
      <c r="F319" s="8"/>
    </row>
    <row r="320">
      <c r="F320" s="8"/>
    </row>
    <row r="321">
      <c r="F321" s="8"/>
    </row>
    <row r="322">
      <c r="F322" s="8"/>
    </row>
    <row r="323">
      <c r="F323" s="8"/>
    </row>
    <row r="324">
      <c r="F324" s="8"/>
    </row>
    <row r="325">
      <c r="F325" s="8"/>
    </row>
    <row r="326">
      <c r="F326" s="8"/>
    </row>
    <row r="327">
      <c r="F327" s="8"/>
    </row>
    <row r="328">
      <c r="F328" s="8"/>
    </row>
    <row r="329">
      <c r="F329" s="8"/>
    </row>
    <row r="330">
      <c r="F330" s="8"/>
    </row>
    <row r="331">
      <c r="F331" s="8"/>
    </row>
    <row r="332">
      <c r="F332" s="8"/>
    </row>
    <row r="333">
      <c r="F333" s="8"/>
    </row>
    <row r="334">
      <c r="F334" s="8"/>
    </row>
    <row r="335">
      <c r="F335" s="8"/>
    </row>
    <row r="336">
      <c r="F336" s="8"/>
    </row>
    <row r="337">
      <c r="F337" s="8"/>
    </row>
    <row r="338">
      <c r="F338" s="8"/>
    </row>
    <row r="339">
      <c r="F339" s="8"/>
    </row>
    <row r="340">
      <c r="F340" s="8"/>
    </row>
    <row r="341">
      <c r="F341" s="8"/>
    </row>
    <row r="342">
      <c r="F342" s="8"/>
    </row>
    <row r="343">
      <c r="F343" s="8"/>
    </row>
    <row r="344">
      <c r="F344" s="8"/>
    </row>
    <row r="345">
      <c r="F345" s="8"/>
    </row>
    <row r="346">
      <c r="F346" s="8"/>
    </row>
    <row r="347">
      <c r="F347" s="8"/>
    </row>
    <row r="348">
      <c r="F348" s="8"/>
    </row>
    <row r="349">
      <c r="F349" s="8"/>
    </row>
    <row r="350">
      <c r="F350" s="8"/>
    </row>
    <row r="351">
      <c r="F351" s="8"/>
    </row>
    <row r="352">
      <c r="F352" s="8"/>
    </row>
    <row r="353">
      <c r="F353" s="8"/>
    </row>
    <row r="354">
      <c r="F354" s="8"/>
    </row>
    <row r="355">
      <c r="F355" s="8"/>
    </row>
    <row r="356">
      <c r="F356" s="8"/>
    </row>
    <row r="357">
      <c r="F357" s="8"/>
    </row>
    <row r="358">
      <c r="F358" s="8"/>
    </row>
    <row r="359">
      <c r="F359" s="8"/>
    </row>
    <row r="360">
      <c r="F360" s="8"/>
    </row>
    <row r="361">
      <c r="F361" s="8"/>
    </row>
    <row r="362">
      <c r="F362" s="8"/>
    </row>
    <row r="363">
      <c r="F363" s="8"/>
    </row>
    <row r="364">
      <c r="F364" s="8"/>
    </row>
    <row r="365">
      <c r="F365" s="8"/>
    </row>
    <row r="366">
      <c r="F366" s="8"/>
    </row>
    <row r="367">
      <c r="F367" s="8"/>
    </row>
    <row r="368">
      <c r="F368" s="8"/>
    </row>
    <row r="369">
      <c r="F369" s="8"/>
    </row>
    <row r="370">
      <c r="F370" s="8"/>
    </row>
    <row r="371">
      <c r="F371" s="8"/>
    </row>
    <row r="372">
      <c r="F372" s="8"/>
    </row>
    <row r="373">
      <c r="F373" s="8"/>
    </row>
    <row r="374">
      <c r="F374" s="8"/>
    </row>
    <row r="375">
      <c r="F375" s="8"/>
    </row>
    <row r="376">
      <c r="F376" s="8"/>
    </row>
    <row r="377">
      <c r="F377" s="8"/>
    </row>
    <row r="378">
      <c r="F378" s="8"/>
    </row>
    <row r="379">
      <c r="F379" s="8"/>
    </row>
    <row r="380">
      <c r="F380" s="8"/>
    </row>
    <row r="381">
      <c r="F381" s="8"/>
    </row>
    <row r="382">
      <c r="F382" s="8"/>
    </row>
    <row r="383">
      <c r="F383" s="8"/>
    </row>
    <row r="384">
      <c r="F384" s="8"/>
    </row>
    <row r="385">
      <c r="F385" s="8"/>
    </row>
    <row r="386">
      <c r="F386" s="8"/>
    </row>
    <row r="387">
      <c r="F387" s="8"/>
    </row>
    <row r="388">
      <c r="F388" s="8"/>
    </row>
    <row r="389">
      <c r="F389" s="8"/>
    </row>
    <row r="390">
      <c r="F390" s="8"/>
    </row>
    <row r="391">
      <c r="F391" s="8"/>
    </row>
    <row r="392">
      <c r="F392" s="8"/>
    </row>
    <row r="393">
      <c r="F393" s="8"/>
    </row>
    <row r="394">
      <c r="F394" s="8"/>
    </row>
    <row r="395">
      <c r="F395" s="8"/>
    </row>
    <row r="396">
      <c r="F396" s="8"/>
    </row>
    <row r="397">
      <c r="F397" s="8"/>
    </row>
    <row r="398">
      <c r="F398" s="8"/>
    </row>
    <row r="399">
      <c r="F399" s="8"/>
    </row>
    <row r="400">
      <c r="F400" s="8"/>
    </row>
    <row r="401">
      <c r="F401" s="8"/>
    </row>
    <row r="402">
      <c r="F402" s="8"/>
    </row>
    <row r="403">
      <c r="F403" s="8"/>
    </row>
    <row r="404">
      <c r="F404" s="8"/>
    </row>
    <row r="405">
      <c r="F405" s="8"/>
    </row>
    <row r="406">
      <c r="F406" s="8"/>
    </row>
    <row r="407">
      <c r="F407" s="8"/>
    </row>
    <row r="408">
      <c r="F408" s="8"/>
    </row>
    <row r="409">
      <c r="F409" s="8"/>
    </row>
    <row r="410">
      <c r="F410" s="8"/>
    </row>
    <row r="411">
      <c r="F411" s="8"/>
    </row>
    <row r="412">
      <c r="F412" s="8"/>
    </row>
    <row r="413">
      <c r="F413" s="8"/>
    </row>
    <row r="414">
      <c r="F414" s="8"/>
    </row>
    <row r="415">
      <c r="F415" s="8"/>
    </row>
    <row r="416">
      <c r="F416" s="8"/>
    </row>
    <row r="417">
      <c r="F417" s="8"/>
    </row>
    <row r="418">
      <c r="F418" s="8"/>
    </row>
    <row r="419">
      <c r="F419" s="8"/>
    </row>
    <row r="420">
      <c r="F420" s="8"/>
    </row>
    <row r="421">
      <c r="F421" s="8"/>
    </row>
    <row r="422">
      <c r="F422" s="8"/>
    </row>
    <row r="423">
      <c r="F423" s="8"/>
    </row>
    <row r="424">
      <c r="F424" s="8"/>
    </row>
    <row r="425">
      <c r="F425" s="8"/>
    </row>
    <row r="426">
      <c r="F426" s="8"/>
    </row>
    <row r="427">
      <c r="F427" s="8"/>
    </row>
    <row r="428">
      <c r="F428" s="8"/>
    </row>
    <row r="429">
      <c r="F429" s="8"/>
    </row>
    <row r="430">
      <c r="F430" s="8"/>
    </row>
    <row r="431">
      <c r="F431" s="8"/>
    </row>
    <row r="432">
      <c r="F432" s="8"/>
    </row>
    <row r="433">
      <c r="F433" s="8"/>
    </row>
    <row r="434">
      <c r="F434" s="8"/>
    </row>
    <row r="435">
      <c r="F435" s="8"/>
    </row>
    <row r="436">
      <c r="F436" s="8"/>
    </row>
    <row r="437">
      <c r="F437" s="8"/>
    </row>
    <row r="438">
      <c r="F438" s="8"/>
    </row>
    <row r="439">
      <c r="F439" s="8"/>
    </row>
    <row r="440">
      <c r="F440" s="8"/>
    </row>
    <row r="441">
      <c r="F441" s="8"/>
    </row>
    <row r="442">
      <c r="F442" s="8"/>
    </row>
    <row r="443">
      <c r="F443" s="8"/>
    </row>
    <row r="444">
      <c r="F444" s="8"/>
    </row>
    <row r="445">
      <c r="F445" s="8"/>
    </row>
    <row r="446">
      <c r="F446" s="8"/>
    </row>
    <row r="447">
      <c r="F447" s="8"/>
    </row>
    <row r="448">
      <c r="F448" s="8"/>
    </row>
    <row r="449">
      <c r="F449" s="8"/>
    </row>
    <row r="450">
      <c r="F450" s="8"/>
    </row>
    <row r="451">
      <c r="F451" s="8"/>
    </row>
    <row r="452">
      <c r="F452" s="8"/>
    </row>
    <row r="453">
      <c r="F453" s="8"/>
    </row>
    <row r="454">
      <c r="F454" s="8"/>
    </row>
    <row r="455">
      <c r="F455" s="8"/>
    </row>
    <row r="456">
      <c r="F456" s="8"/>
    </row>
    <row r="457">
      <c r="F457" s="8"/>
    </row>
    <row r="458">
      <c r="F458" s="8"/>
    </row>
    <row r="459">
      <c r="F459" s="8"/>
    </row>
    <row r="460">
      <c r="F460" s="8"/>
    </row>
    <row r="461">
      <c r="F461" s="8"/>
    </row>
    <row r="462">
      <c r="F462" s="8"/>
    </row>
    <row r="463">
      <c r="F463" s="8"/>
    </row>
    <row r="464">
      <c r="F464" s="8"/>
    </row>
    <row r="465">
      <c r="F465" s="8"/>
    </row>
    <row r="466">
      <c r="F466" s="8"/>
    </row>
    <row r="467">
      <c r="F467" s="8"/>
    </row>
    <row r="468">
      <c r="F468" s="8"/>
    </row>
    <row r="469">
      <c r="F469" s="8"/>
    </row>
    <row r="470">
      <c r="F470" s="8"/>
    </row>
    <row r="471">
      <c r="F471" s="8"/>
    </row>
    <row r="472">
      <c r="F472" s="8"/>
    </row>
    <row r="473">
      <c r="F473" s="8"/>
    </row>
    <row r="474">
      <c r="F474" s="8"/>
    </row>
    <row r="475">
      <c r="F475" s="8"/>
    </row>
    <row r="476">
      <c r="F476" s="8"/>
    </row>
    <row r="477">
      <c r="F477" s="8"/>
    </row>
    <row r="478">
      <c r="F478" s="8"/>
    </row>
    <row r="479">
      <c r="F479" s="8"/>
    </row>
    <row r="480">
      <c r="F480" s="8"/>
    </row>
    <row r="481">
      <c r="F481" s="8"/>
    </row>
    <row r="482">
      <c r="F482" s="8"/>
    </row>
    <row r="483">
      <c r="F483" s="8"/>
    </row>
    <row r="484">
      <c r="F484" s="8"/>
    </row>
    <row r="485">
      <c r="F485" s="8"/>
    </row>
    <row r="486">
      <c r="F486" s="8"/>
    </row>
    <row r="487">
      <c r="F487" s="8"/>
    </row>
    <row r="488">
      <c r="F488" s="8"/>
    </row>
    <row r="489">
      <c r="F489" s="8"/>
    </row>
    <row r="490">
      <c r="F490" s="8"/>
    </row>
    <row r="491">
      <c r="F491" s="8"/>
    </row>
    <row r="492">
      <c r="F492" s="8"/>
    </row>
    <row r="493">
      <c r="F493" s="8"/>
    </row>
    <row r="494">
      <c r="F494" s="8"/>
    </row>
    <row r="495">
      <c r="F495" s="8"/>
    </row>
    <row r="496">
      <c r="F496" s="8"/>
    </row>
    <row r="497">
      <c r="F497" s="8"/>
    </row>
    <row r="498">
      <c r="F498" s="8"/>
    </row>
    <row r="499">
      <c r="F499" s="8"/>
    </row>
    <row r="500">
      <c r="F500" s="8"/>
    </row>
    <row r="501">
      <c r="F501" s="8"/>
    </row>
    <row r="502">
      <c r="F502" s="8"/>
    </row>
    <row r="503">
      <c r="F503" s="8"/>
    </row>
    <row r="504">
      <c r="F504" s="8"/>
    </row>
    <row r="505">
      <c r="F505" s="8"/>
    </row>
    <row r="506">
      <c r="F506" s="8"/>
    </row>
    <row r="507">
      <c r="F507" s="8"/>
    </row>
    <row r="508">
      <c r="F508" s="8"/>
    </row>
    <row r="509">
      <c r="F509" s="8"/>
    </row>
    <row r="510">
      <c r="F510" s="8"/>
    </row>
    <row r="511">
      <c r="F511" s="8"/>
    </row>
    <row r="512">
      <c r="F512" s="8"/>
    </row>
    <row r="513">
      <c r="F513" s="8"/>
    </row>
    <row r="514">
      <c r="F514" s="8"/>
    </row>
    <row r="515">
      <c r="F515" s="8"/>
    </row>
    <row r="516">
      <c r="F516" s="8"/>
    </row>
    <row r="517">
      <c r="F517" s="8"/>
    </row>
    <row r="518">
      <c r="F518" s="8"/>
    </row>
    <row r="519">
      <c r="F519" s="8"/>
    </row>
    <row r="520">
      <c r="F520" s="8"/>
    </row>
    <row r="521">
      <c r="F521" s="8"/>
    </row>
    <row r="522">
      <c r="F522" s="8"/>
    </row>
    <row r="523">
      <c r="F523" s="8"/>
    </row>
    <row r="524">
      <c r="F524" s="8"/>
    </row>
    <row r="525">
      <c r="F525" s="8"/>
    </row>
    <row r="526">
      <c r="F526" s="8"/>
    </row>
    <row r="527">
      <c r="F527" s="8"/>
    </row>
    <row r="528">
      <c r="F528" s="8"/>
    </row>
    <row r="529">
      <c r="F529" s="8"/>
    </row>
    <row r="530">
      <c r="F530" s="8"/>
    </row>
    <row r="531">
      <c r="F531" s="8"/>
    </row>
    <row r="532">
      <c r="F532" s="8"/>
    </row>
    <row r="533">
      <c r="F533" s="8"/>
    </row>
    <row r="534">
      <c r="F534" s="8"/>
    </row>
    <row r="535">
      <c r="F535" s="8"/>
    </row>
    <row r="536">
      <c r="F536" s="8"/>
    </row>
    <row r="537">
      <c r="F537" s="8"/>
    </row>
    <row r="538">
      <c r="F538" s="8"/>
    </row>
    <row r="539">
      <c r="F539" s="8"/>
    </row>
    <row r="540">
      <c r="F540" s="8"/>
    </row>
    <row r="541">
      <c r="F541" s="8"/>
    </row>
    <row r="542">
      <c r="F542" s="8"/>
    </row>
    <row r="543">
      <c r="F543" s="8"/>
    </row>
    <row r="544">
      <c r="F544" s="8"/>
    </row>
    <row r="545">
      <c r="F545" s="8"/>
    </row>
    <row r="546">
      <c r="F546" s="8"/>
    </row>
    <row r="547">
      <c r="F547" s="8"/>
    </row>
    <row r="548">
      <c r="F548" s="8"/>
    </row>
    <row r="549">
      <c r="F549" s="8"/>
    </row>
    <row r="550">
      <c r="F550" s="8"/>
    </row>
    <row r="551">
      <c r="F551" s="8"/>
    </row>
    <row r="552">
      <c r="F552" s="8"/>
    </row>
    <row r="553">
      <c r="F553" s="8"/>
    </row>
    <row r="554">
      <c r="F554" s="8"/>
    </row>
    <row r="555">
      <c r="F555" s="8"/>
    </row>
    <row r="556">
      <c r="F556" s="8"/>
    </row>
    <row r="557">
      <c r="F557" s="8"/>
    </row>
    <row r="558">
      <c r="F558" s="8"/>
    </row>
    <row r="559">
      <c r="F559" s="8"/>
    </row>
    <row r="560">
      <c r="F560" s="8"/>
    </row>
    <row r="561">
      <c r="F561" s="8"/>
    </row>
    <row r="562">
      <c r="F562" s="8"/>
    </row>
    <row r="563">
      <c r="F563" s="8"/>
    </row>
    <row r="564">
      <c r="F564" s="8"/>
    </row>
    <row r="565">
      <c r="F565" s="8"/>
    </row>
    <row r="566">
      <c r="F566" s="8"/>
    </row>
    <row r="567">
      <c r="F567" s="8"/>
    </row>
    <row r="568">
      <c r="F568" s="8"/>
    </row>
    <row r="569">
      <c r="F569" s="8"/>
    </row>
    <row r="570">
      <c r="F570" s="8"/>
    </row>
    <row r="571">
      <c r="F571" s="8"/>
    </row>
    <row r="572">
      <c r="F572" s="8"/>
    </row>
    <row r="573">
      <c r="F573" s="8"/>
    </row>
    <row r="574">
      <c r="F574" s="8"/>
    </row>
    <row r="575">
      <c r="F575" s="8"/>
    </row>
    <row r="576">
      <c r="F576" s="8"/>
    </row>
    <row r="577">
      <c r="F577" s="8"/>
    </row>
    <row r="578">
      <c r="F578" s="8"/>
    </row>
    <row r="579">
      <c r="F579" s="8"/>
    </row>
    <row r="580">
      <c r="F580" s="8"/>
    </row>
    <row r="581">
      <c r="F581" s="8"/>
    </row>
    <row r="582">
      <c r="F582" s="8"/>
    </row>
    <row r="583">
      <c r="F583" s="8"/>
    </row>
    <row r="584">
      <c r="F584" s="8"/>
    </row>
    <row r="585">
      <c r="F585" s="8"/>
    </row>
    <row r="586">
      <c r="F586" s="8"/>
    </row>
    <row r="587">
      <c r="F587" s="8"/>
    </row>
    <row r="588">
      <c r="F588" s="8"/>
    </row>
    <row r="589">
      <c r="F589" s="8"/>
    </row>
    <row r="590">
      <c r="F590" s="8"/>
    </row>
    <row r="591">
      <c r="F591" s="8"/>
    </row>
    <row r="592">
      <c r="F592" s="8"/>
    </row>
    <row r="593">
      <c r="F593" s="8"/>
    </row>
    <row r="594">
      <c r="F594" s="8"/>
    </row>
    <row r="595">
      <c r="F595" s="8"/>
    </row>
    <row r="596">
      <c r="F596" s="8"/>
    </row>
    <row r="597">
      <c r="F597" s="8"/>
    </row>
    <row r="598">
      <c r="F598" s="8"/>
    </row>
    <row r="599">
      <c r="F599" s="8"/>
    </row>
    <row r="600">
      <c r="F600" s="8"/>
    </row>
    <row r="601">
      <c r="F601" s="8"/>
    </row>
    <row r="602">
      <c r="F602" s="8"/>
    </row>
    <row r="603">
      <c r="F603" s="8"/>
    </row>
    <row r="604">
      <c r="F604" s="8"/>
    </row>
    <row r="605">
      <c r="F605" s="8"/>
    </row>
    <row r="606">
      <c r="F606" s="8"/>
    </row>
    <row r="607">
      <c r="F607" s="8"/>
    </row>
    <row r="608">
      <c r="F608" s="8"/>
    </row>
    <row r="609">
      <c r="F609" s="8"/>
    </row>
    <row r="610">
      <c r="F610" s="8"/>
    </row>
    <row r="611">
      <c r="F611" s="8"/>
    </row>
    <row r="612">
      <c r="F612" s="8"/>
    </row>
    <row r="613">
      <c r="F613" s="8"/>
    </row>
    <row r="614">
      <c r="F614" s="8"/>
    </row>
    <row r="615">
      <c r="F615" s="8"/>
    </row>
    <row r="616">
      <c r="F616" s="8"/>
    </row>
    <row r="617">
      <c r="F617" s="8"/>
    </row>
    <row r="618">
      <c r="F618" s="8"/>
    </row>
    <row r="619">
      <c r="F619" s="8"/>
    </row>
    <row r="620">
      <c r="F620" s="8"/>
    </row>
    <row r="621">
      <c r="F621" s="8"/>
    </row>
    <row r="622">
      <c r="F622" s="8"/>
    </row>
    <row r="623">
      <c r="F623" s="8"/>
    </row>
    <row r="624">
      <c r="F624" s="8"/>
    </row>
    <row r="625">
      <c r="F625" s="8"/>
    </row>
    <row r="626">
      <c r="F626" s="8"/>
    </row>
    <row r="627">
      <c r="F627" s="8"/>
    </row>
    <row r="628">
      <c r="F628" s="8"/>
    </row>
    <row r="629">
      <c r="F629" s="8"/>
    </row>
    <row r="630">
      <c r="F630" s="8"/>
    </row>
    <row r="631">
      <c r="F631" s="8"/>
    </row>
    <row r="632">
      <c r="F632" s="8"/>
    </row>
    <row r="633">
      <c r="F633" s="8"/>
    </row>
    <row r="634">
      <c r="F634" s="8"/>
    </row>
    <row r="635">
      <c r="F635" s="8"/>
    </row>
    <row r="636">
      <c r="F636" s="8"/>
    </row>
    <row r="637">
      <c r="F637" s="8"/>
    </row>
    <row r="638">
      <c r="F638" s="8"/>
    </row>
    <row r="639">
      <c r="F639" s="8"/>
    </row>
    <row r="640">
      <c r="F640" s="8"/>
    </row>
    <row r="641">
      <c r="F641" s="8"/>
    </row>
    <row r="642">
      <c r="F642" s="8"/>
    </row>
    <row r="643">
      <c r="F643" s="8"/>
    </row>
    <row r="644">
      <c r="F644" s="8"/>
    </row>
    <row r="645">
      <c r="F645" s="8"/>
    </row>
    <row r="646">
      <c r="F646" s="8"/>
    </row>
    <row r="647">
      <c r="F647" s="8"/>
    </row>
    <row r="648">
      <c r="F648" s="8"/>
    </row>
    <row r="649">
      <c r="F649" s="8"/>
    </row>
    <row r="650">
      <c r="F650" s="8"/>
    </row>
    <row r="651">
      <c r="F651" s="8"/>
    </row>
    <row r="652">
      <c r="F652" s="8"/>
    </row>
    <row r="653">
      <c r="F653" s="8"/>
    </row>
    <row r="654">
      <c r="F654" s="8"/>
    </row>
    <row r="655">
      <c r="F655" s="8"/>
    </row>
    <row r="656">
      <c r="F656" s="8"/>
    </row>
    <row r="657">
      <c r="F657" s="8"/>
    </row>
    <row r="658">
      <c r="F658" s="8"/>
    </row>
    <row r="659">
      <c r="F659" s="8"/>
    </row>
    <row r="660">
      <c r="F660" s="8"/>
    </row>
    <row r="661">
      <c r="F661" s="8"/>
    </row>
    <row r="662">
      <c r="F662" s="8"/>
    </row>
    <row r="663">
      <c r="F663" s="8"/>
    </row>
    <row r="664">
      <c r="F664" s="8"/>
    </row>
    <row r="665">
      <c r="F665" s="8"/>
    </row>
    <row r="666">
      <c r="F666" s="8"/>
    </row>
    <row r="667">
      <c r="F667" s="8"/>
    </row>
    <row r="668">
      <c r="F668" s="8"/>
    </row>
    <row r="669">
      <c r="F669" s="8"/>
    </row>
    <row r="670">
      <c r="F670" s="8"/>
    </row>
    <row r="671">
      <c r="F671" s="8"/>
    </row>
    <row r="672">
      <c r="F672" s="8"/>
    </row>
    <row r="673">
      <c r="F673" s="8"/>
    </row>
    <row r="674">
      <c r="F674" s="8"/>
    </row>
    <row r="675">
      <c r="F675" s="8"/>
    </row>
    <row r="676">
      <c r="F676" s="8"/>
    </row>
    <row r="677">
      <c r="F677" s="8"/>
    </row>
    <row r="678">
      <c r="F678" s="8"/>
    </row>
    <row r="679">
      <c r="F679" s="8"/>
    </row>
    <row r="680">
      <c r="F680" s="8"/>
    </row>
    <row r="681">
      <c r="F681" s="8"/>
    </row>
    <row r="682">
      <c r="F682" s="8"/>
    </row>
    <row r="683">
      <c r="F683" s="8"/>
    </row>
    <row r="684">
      <c r="F684" s="8"/>
    </row>
    <row r="685">
      <c r="F685" s="8"/>
    </row>
    <row r="686">
      <c r="F686" s="8"/>
    </row>
    <row r="687">
      <c r="F687" s="8"/>
    </row>
    <row r="688">
      <c r="F688" s="8"/>
    </row>
    <row r="689">
      <c r="F689" s="8"/>
    </row>
    <row r="690">
      <c r="F690" s="8"/>
    </row>
    <row r="691">
      <c r="F691" s="8"/>
    </row>
    <row r="692">
      <c r="F692" s="8"/>
    </row>
    <row r="693">
      <c r="F693" s="8"/>
    </row>
    <row r="694">
      <c r="F694" s="8"/>
    </row>
    <row r="695">
      <c r="F695" s="8"/>
    </row>
    <row r="696">
      <c r="F696" s="8"/>
    </row>
    <row r="697">
      <c r="F697" s="8"/>
    </row>
    <row r="698">
      <c r="F698" s="8"/>
    </row>
    <row r="699">
      <c r="F699" s="8"/>
    </row>
    <row r="700">
      <c r="F700" s="8"/>
    </row>
    <row r="701">
      <c r="F701" s="8"/>
    </row>
    <row r="702">
      <c r="F702" s="8"/>
    </row>
    <row r="703">
      <c r="F703" s="8"/>
    </row>
    <row r="704">
      <c r="F704" s="8"/>
    </row>
    <row r="705">
      <c r="F705" s="8"/>
    </row>
    <row r="706">
      <c r="F706" s="8"/>
    </row>
    <row r="707">
      <c r="F707" s="8"/>
    </row>
    <row r="708">
      <c r="F708" s="8"/>
    </row>
    <row r="709">
      <c r="F709" s="8"/>
    </row>
    <row r="710">
      <c r="F710" s="8"/>
    </row>
    <row r="711">
      <c r="F711" s="8"/>
    </row>
    <row r="712">
      <c r="F712" s="8"/>
    </row>
    <row r="713">
      <c r="F713" s="8"/>
    </row>
    <row r="714">
      <c r="F714" s="8"/>
    </row>
    <row r="715">
      <c r="F715" s="8"/>
    </row>
    <row r="716">
      <c r="F716" s="8"/>
    </row>
    <row r="717">
      <c r="F717" s="8"/>
    </row>
    <row r="718">
      <c r="F718" s="8"/>
    </row>
    <row r="719">
      <c r="F719" s="8"/>
    </row>
    <row r="720">
      <c r="F720" s="8"/>
    </row>
    <row r="721">
      <c r="F721" s="8"/>
    </row>
    <row r="722">
      <c r="F722" s="8"/>
    </row>
    <row r="723">
      <c r="F723" s="8"/>
    </row>
    <row r="724">
      <c r="F724" s="8"/>
    </row>
    <row r="725">
      <c r="F725" s="8"/>
    </row>
    <row r="726">
      <c r="F726" s="8"/>
    </row>
    <row r="727">
      <c r="F727" s="8"/>
    </row>
    <row r="728">
      <c r="F728" s="8"/>
    </row>
    <row r="729">
      <c r="F729" s="8"/>
    </row>
    <row r="730">
      <c r="F730" s="8"/>
    </row>
    <row r="731">
      <c r="F731" s="8"/>
    </row>
    <row r="732">
      <c r="F732" s="8"/>
    </row>
    <row r="733">
      <c r="F733" s="8"/>
    </row>
    <row r="734">
      <c r="F734" s="8"/>
    </row>
    <row r="735">
      <c r="F735" s="8"/>
    </row>
    <row r="736">
      <c r="F736" s="8"/>
    </row>
    <row r="737">
      <c r="F737" s="8"/>
    </row>
    <row r="738">
      <c r="F738" s="8"/>
    </row>
    <row r="739">
      <c r="F739" s="8"/>
    </row>
    <row r="740">
      <c r="F740" s="8"/>
    </row>
    <row r="741">
      <c r="F741" s="8"/>
    </row>
    <row r="742">
      <c r="F742" s="8"/>
    </row>
    <row r="743">
      <c r="F743" s="8"/>
    </row>
    <row r="744">
      <c r="F744" s="8"/>
    </row>
    <row r="745">
      <c r="F745" s="8"/>
    </row>
    <row r="746">
      <c r="F746" s="8"/>
    </row>
    <row r="747">
      <c r="F747" s="8"/>
    </row>
    <row r="748">
      <c r="F748" s="8"/>
    </row>
    <row r="749">
      <c r="F749" s="8"/>
    </row>
    <row r="750">
      <c r="F750" s="8"/>
    </row>
    <row r="751">
      <c r="F751" s="8"/>
    </row>
    <row r="752">
      <c r="F752" s="8"/>
    </row>
    <row r="753">
      <c r="F753" s="8"/>
    </row>
    <row r="754">
      <c r="F754" s="8"/>
    </row>
    <row r="755">
      <c r="F755" s="8"/>
    </row>
    <row r="756">
      <c r="F756" s="8"/>
    </row>
    <row r="757">
      <c r="F757" s="8"/>
    </row>
    <row r="758">
      <c r="F758" s="8"/>
    </row>
    <row r="759">
      <c r="F759" s="8"/>
    </row>
    <row r="760">
      <c r="F760" s="8"/>
    </row>
    <row r="761">
      <c r="F761" s="8"/>
    </row>
    <row r="762">
      <c r="F762" s="8"/>
    </row>
    <row r="763">
      <c r="F763" s="8"/>
    </row>
    <row r="764">
      <c r="F764" s="8"/>
    </row>
    <row r="765">
      <c r="F765" s="8"/>
    </row>
    <row r="766">
      <c r="F766" s="8"/>
    </row>
    <row r="767">
      <c r="F767" s="8"/>
    </row>
    <row r="768">
      <c r="F768" s="8"/>
    </row>
    <row r="769">
      <c r="F769" s="8"/>
    </row>
    <row r="770">
      <c r="F770" s="8"/>
    </row>
    <row r="771">
      <c r="F771" s="8"/>
    </row>
    <row r="772">
      <c r="F772" s="8"/>
    </row>
    <row r="773">
      <c r="F773" s="8"/>
    </row>
    <row r="774">
      <c r="F774" s="8"/>
    </row>
    <row r="775">
      <c r="F775" s="8"/>
    </row>
    <row r="776">
      <c r="F776" s="8"/>
    </row>
    <row r="777">
      <c r="F777" s="8"/>
    </row>
    <row r="778">
      <c r="F778" s="8"/>
    </row>
    <row r="779">
      <c r="F779" s="8"/>
    </row>
    <row r="780">
      <c r="F780" s="8"/>
    </row>
    <row r="781">
      <c r="F781" s="8"/>
    </row>
    <row r="782">
      <c r="F782" s="8"/>
    </row>
    <row r="783">
      <c r="F783" s="8"/>
    </row>
    <row r="784">
      <c r="F784" s="8"/>
    </row>
    <row r="785">
      <c r="F785" s="8"/>
    </row>
    <row r="786">
      <c r="F786" s="8"/>
    </row>
    <row r="787">
      <c r="F787" s="8"/>
    </row>
    <row r="788">
      <c r="F788" s="8"/>
    </row>
    <row r="789">
      <c r="F789" s="8"/>
    </row>
    <row r="790">
      <c r="F790" s="8"/>
    </row>
    <row r="791">
      <c r="F791" s="8"/>
    </row>
    <row r="792">
      <c r="F792" s="8"/>
    </row>
    <row r="793">
      <c r="F793" s="8"/>
    </row>
    <row r="794">
      <c r="F794" s="8"/>
    </row>
    <row r="795">
      <c r="F795" s="8"/>
    </row>
    <row r="796">
      <c r="F796" s="8"/>
    </row>
    <row r="797">
      <c r="F797" s="8"/>
    </row>
    <row r="798">
      <c r="F798" s="8"/>
    </row>
    <row r="799">
      <c r="F799" s="8"/>
    </row>
    <row r="800">
      <c r="F800" s="8"/>
    </row>
    <row r="801">
      <c r="F801" s="8"/>
    </row>
    <row r="802">
      <c r="F802" s="8"/>
    </row>
    <row r="803">
      <c r="F803" s="8"/>
    </row>
    <row r="804">
      <c r="F804" s="8"/>
    </row>
    <row r="805">
      <c r="F805" s="8"/>
    </row>
    <row r="806">
      <c r="F806" s="8"/>
    </row>
    <row r="807">
      <c r="F807" s="8"/>
    </row>
    <row r="808">
      <c r="F808" s="8"/>
    </row>
    <row r="809">
      <c r="F809" s="8"/>
    </row>
    <row r="810">
      <c r="F810" s="8"/>
    </row>
    <row r="811">
      <c r="F811" s="8"/>
    </row>
    <row r="812">
      <c r="F812" s="8"/>
    </row>
    <row r="813">
      <c r="F813" s="8"/>
    </row>
    <row r="814">
      <c r="F814" s="8"/>
    </row>
    <row r="815">
      <c r="F815" s="8"/>
    </row>
    <row r="816">
      <c r="F816" s="8"/>
    </row>
    <row r="817">
      <c r="F817" s="8"/>
    </row>
    <row r="818">
      <c r="F818" s="8"/>
    </row>
    <row r="819">
      <c r="F819" s="8"/>
    </row>
    <row r="820">
      <c r="F820" s="8"/>
    </row>
    <row r="821">
      <c r="F821" s="8"/>
    </row>
    <row r="822">
      <c r="F822" s="8"/>
    </row>
    <row r="823">
      <c r="F823" s="8"/>
    </row>
    <row r="824">
      <c r="F824" s="8"/>
    </row>
    <row r="825">
      <c r="F825" s="8"/>
    </row>
    <row r="826">
      <c r="F826" s="8"/>
    </row>
    <row r="827">
      <c r="F827" s="8"/>
    </row>
    <row r="828">
      <c r="F828" s="8"/>
    </row>
    <row r="829">
      <c r="F829" s="8"/>
    </row>
    <row r="830">
      <c r="F830" s="8"/>
    </row>
    <row r="831">
      <c r="F831" s="8"/>
    </row>
    <row r="832">
      <c r="F832" s="8"/>
    </row>
    <row r="833">
      <c r="F833" s="8"/>
    </row>
    <row r="834">
      <c r="F834" s="8"/>
    </row>
    <row r="835">
      <c r="F835" s="8"/>
    </row>
    <row r="836">
      <c r="F836" s="8"/>
    </row>
    <row r="837">
      <c r="F837" s="8"/>
    </row>
    <row r="838">
      <c r="F838" s="8"/>
    </row>
    <row r="839">
      <c r="F839" s="8"/>
    </row>
    <row r="840">
      <c r="F840" s="8"/>
    </row>
    <row r="841">
      <c r="F841" s="8"/>
    </row>
    <row r="842">
      <c r="F842" s="8"/>
    </row>
    <row r="843">
      <c r="F843" s="8"/>
    </row>
    <row r="844">
      <c r="F844" s="8"/>
    </row>
    <row r="845">
      <c r="F845" s="8"/>
    </row>
    <row r="846">
      <c r="F846" s="8"/>
    </row>
    <row r="847">
      <c r="F847" s="8"/>
    </row>
    <row r="848">
      <c r="F848" s="8"/>
    </row>
    <row r="849">
      <c r="F849" s="8"/>
    </row>
    <row r="850">
      <c r="F850" s="8"/>
    </row>
    <row r="851">
      <c r="F851" s="8"/>
    </row>
    <row r="852">
      <c r="F852" s="8"/>
    </row>
    <row r="853">
      <c r="F853" s="8"/>
    </row>
    <row r="854">
      <c r="F854" s="8"/>
    </row>
    <row r="855">
      <c r="F855" s="8"/>
    </row>
    <row r="856">
      <c r="F856" s="8"/>
    </row>
    <row r="857">
      <c r="F857" s="8"/>
    </row>
    <row r="858">
      <c r="F858" s="8"/>
    </row>
    <row r="859">
      <c r="F859" s="8"/>
    </row>
    <row r="860">
      <c r="F860" s="8"/>
    </row>
    <row r="861">
      <c r="F861" s="8"/>
    </row>
    <row r="862">
      <c r="F862" s="8"/>
    </row>
    <row r="863">
      <c r="F863" s="8"/>
    </row>
    <row r="864">
      <c r="F864" s="8"/>
    </row>
    <row r="865">
      <c r="F865" s="8"/>
    </row>
    <row r="866">
      <c r="F866" s="8"/>
    </row>
    <row r="867">
      <c r="F867" s="8"/>
    </row>
    <row r="868">
      <c r="F868" s="8"/>
    </row>
    <row r="869">
      <c r="F869" s="8"/>
    </row>
    <row r="870">
      <c r="F870" s="8"/>
    </row>
    <row r="871">
      <c r="F871" s="8"/>
    </row>
    <row r="872">
      <c r="F872" s="8"/>
    </row>
    <row r="873">
      <c r="F873" s="8"/>
    </row>
    <row r="874">
      <c r="F874" s="8"/>
    </row>
    <row r="875">
      <c r="F875" s="8"/>
    </row>
    <row r="876">
      <c r="F876" s="8"/>
    </row>
    <row r="877">
      <c r="F877" s="8"/>
    </row>
    <row r="878">
      <c r="F878" s="8"/>
    </row>
    <row r="879">
      <c r="F879" s="8"/>
    </row>
    <row r="880">
      <c r="F880" s="8"/>
    </row>
    <row r="881">
      <c r="F881" s="8"/>
    </row>
    <row r="882">
      <c r="F882" s="8"/>
    </row>
    <row r="883">
      <c r="F883" s="8"/>
    </row>
    <row r="884">
      <c r="F884" s="8"/>
    </row>
    <row r="885">
      <c r="F885" s="8"/>
    </row>
    <row r="886">
      <c r="F886" s="8"/>
    </row>
    <row r="887">
      <c r="F887" s="8"/>
    </row>
    <row r="888">
      <c r="F888" s="8"/>
    </row>
    <row r="889">
      <c r="F889" s="8"/>
    </row>
    <row r="890">
      <c r="F890" s="8"/>
    </row>
    <row r="891">
      <c r="F891" s="8"/>
    </row>
    <row r="892">
      <c r="F892" s="8"/>
    </row>
    <row r="893">
      <c r="F893" s="8"/>
    </row>
    <row r="894">
      <c r="F894" s="8"/>
    </row>
    <row r="895">
      <c r="F895" s="8"/>
    </row>
    <row r="896">
      <c r="F896" s="8"/>
    </row>
    <row r="897">
      <c r="F897" s="8"/>
    </row>
    <row r="898">
      <c r="F898" s="8"/>
    </row>
    <row r="899">
      <c r="F899" s="8"/>
    </row>
    <row r="900">
      <c r="F900" s="8"/>
    </row>
    <row r="901">
      <c r="F901" s="8"/>
    </row>
    <row r="902">
      <c r="F902" s="8"/>
    </row>
    <row r="903">
      <c r="F903" s="8"/>
    </row>
    <row r="904">
      <c r="F904" s="8"/>
    </row>
    <row r="905">
      <c r="F905" s="8"/>
    </row>
    <row r="906">
      <c r="F906" s="8"/>
    </row>
    <row r="907">
      <c r="F907" s="8"/>
    </row>
    <row r="908">
      <c r="F908" s="8"/>
    </row>
    <row r="909">
      <c r="F909" s="8"/>
    </row>
    <row r="910">
      <c r="F910" s="8"/>
    </row>
    <row r="911">
      <c r="F911" s="8"/>
    </row>
    <row r="912">
      <c r="F912" s="8"/>
    </row>
    <row r="913">
      <c r="F913" s="8"/>
    </row>
    <row r="914">
      <c r="F914" s="8"/>
    </row>
    <row r="915">
      <c r="F915" s="8"/>
    </row>
    <row r="916">
      <c r="F916" s="8"/>
    </row>
    <row r="917">
      <c r="F917" s="8"/>
    </row>
    <row r="918">
      <c r="F918" s="8"/>
    </row>
    <row r="919">
      <c r="F919" s="8"/>
    </row>
    <row r="920">
      <c r="F920" s="8"/>
    </row>
    <row r="921">
      <c r="F921" s="8"/>
    </row>
    <row r="922">
      <c r="F922" s="8"/>
    </row>
    <row r="923">
      <c r="F923" s="8"/>
    </row>
    <row r="924">
      <c r="F924" s="8"/>
    </row>
    <row r="925">
      <c r="F925" s="8"/>
    </row>
    <row r="926">
      <c r="F926" s="8"/>
    </row>
    <row r="927">
      <c r="F927" s="8"/>
    </row>
    <row r="928">
      <c r="F928" s="8"/>
    </row>
    <row r="929">
      <c r="F929" s="8"/>
    </row>
    <row r="930">
      <c r="F930" s="8"/>
    </row>
    <row r="931">
      <c r="F931" s="8"/>
    </row>
    <row r="932">
      <c r="F932" s="8"/>
    </row>
    <row r="933">
      <c r="F933" s="8"/>
    </row>
    <row r="934">
      <c r="F934" s="8"/>
    </row>
    <row r="935">
      <c r="F935" s="8"/>
    </row>
    <row r="936">
      <c r="F936" s="8"/>
    </row>
    <row r="937">
      <c r="F937" s="8"/>
    </row>
    <row r="938">
      <c r="F938" s="8"/>
    </row>
    <row r="939">
      <c r="F939" s="8"/>
    </row>
    <row r="940">
      <c r="F940" s="8"/>
    </row>
    <row r="941">
      <c r="F941" s="8"/>
    </row>
    <row r="942">
      <c r="F942" s="8"/>
    </row>
    <row r="943">
      <c r="F943" s="8"/>
    </row>
    <row r="944">
      <c r="F944" s="8"/>
    </row>
    <row r="945">
      <c r="F945" s="8"/>
    </row>
    <row r="946">
      <c r="F946" s="8"/>
    </row>
    <row r="947">
      <c r="F947" s="8"/>
    </row>
    <row r="948">
      <c r="F948" s="8"/>
    </row>
    <row r="949">
      <c r="F949" s="8"/>
    </row>
    <row r="950">
      <c r="F950" s="8"/>
    </row>
    <row r="951">
      <c r="F951" s="8"/>
    </row>
    <row r="952">
      <c r="F952" s="8"/>
    </row>
    <row r="953">
      <c r="F953" s="8"/>
    </row>
    <row r="954">
      <c r="F954" s="8"/>
    </row>
    <row r="955">
      <c r="F955" s="8"/>
    </row>
    <row r="956">
      <c r="F956" s="8"/>
    </row>
    <row r="957">
      <c r="F957" s="8"/>
    </row>
    <row r="958">
      <c r="F958" s="8"/>
    </row>
    <row r="959">
      <c r="F959" s="8"/>
    </row>
    <row r="960">
      <c r="F960" s="8"/>
    </row>
    <row r="961">
      <c r="F961" s="8"/>
    </row>
    <row r="962">
      <c r="F962" s="8"/>
    </row>
    <row r="963">
      <c r="F963" s="8"/>
    </row>
    <row r="964">
      <c r="F964" s="8"/>
    </row>
    <row r="965">
      <c r="F965" s="8"/>
    </row>
    <row r="966">
      <c r="F966" s="8"/>
    </row>
    <row r="967">
      <c r="F967" s="8"/>
    </row>
    <row r="968">
      <c r="F968" s="8"/>
    </row>
    <row r="969">
      <c r="F969" s="8"/>
    </row>
    <row r="970">
      <c r="F970" s="8"/>
    </row>
    <row r="971">
      <c r="F971" s="8"/>
    </row>
    <row r="972">
      <c r="F972" s="8"/>
    </row>
    <row r="973">
      <c r="F973" s="8"/>
    </row>
    <row r="974">
      <c r="F974" s="8"/>
    </row>
    <row r="975">
      <c r="F975" s="8"/>
    </row>
    <row r="976">
      <c r="F976" s="8"/>
    </row>
    <row r="977">
      <c r="F977" s="8"/>
    </row>
    <row r="978">
      <c r="F978" s="8"/>
    </row>
    <row r="979">
      <c r="F979" s="8"/>
    </row>
    <row r="980">
      <c r="F980" s="8"/>
    </row>
    <row r="981">
      <c r="F981" s="8"/>
    </row>
    <row r="982">
      <c r="F982" s="8"/>
    </row>
    <row r="983">
      <c r="F983" s="8"/>
    </row>
    <row r="984">
      <c r="F984" s="8"/>
    </row>
    <row r="985">
      <c r="F985" s="8"/>
    </row>
    <row r="986">
      <c r="F986" s="8"/>
    </row>
    <row r="987">
      <c r="F987" s="8"/>
    </row>
    <row r="988">
      <c r="F988" s="8"/>
    </row>
    <row r="989">
      <c r="F989" s="8"/>
    </row>
    <row r="990">
      <c r="F990" s="8"/>
    </row>
    <row r="991">
      <c r="F991" s="8"/>
    </row>
    <row r="992">
      <c r="F992" s="8"/>
    </row>
    <row r="993">
      <c r="F993" s="8"/>
    </row>
    <row r="994">
      <c r="F994" s="8"/>
    </row>
    <row r="995">
      <c r="F995" s="8"/>
    </row>
    <row r="996">
      <c r="F996" s="8"/>
    </row>
    <row r="997">
      <c r="F997" s="8"/>
    </row>
    <row r="998">
      <c r="F998" s="8"/>
    </row>
    <row r="999">
      <c r="F999" s="8"/>
    </row>
    <row r="1000">
      <c r="F1000" s="8"/>
    </row>
  </sheetData>
  <dataValidations>
    <dataValidation type="list" allowBlank="1" showInputMessage="1" showErrorMessage="1" prompt="Please, first add the SE task in the General tags page in column E" sqref="E74">
      <formula1>'General Tags'!$F$2:$F$295</formula1>
    </dataValidation>
  </dataValidations>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25"/>
    <col customWidth="1" min="4" max="4" width="20.13"/>
    <col customWidth="1" min="5" max="5" width="21.63"/>
    <col customWidth="1" min="6" max="6" width="30.0"/>
    <col customWidth="1" min="7" max="8" width="32.63"/>
    <col customWidth="1" min="9" max="9" width="19.63"/>
    <col customWidth="1" min="10" max="10" width="25.38"/>
  </cols>
  <sheetData>
    <row r="1" ht="35.25" customHeight="1">
      <c r="A1" s="163" t="s">
        <v>3329</v>
      </c>
      <c r="B1" s="163" t="s">
        <v>3330</v>
      </c>
      <c r="C1" s="163" t="s">
        <v>3307</v>
      </c>
      <c r="D1" s="163" t="s">
        <v>3331</v>
      </c>
      <c r="E1" s="163" t="s">
        <v>2</v>
      </c>
      <c r="F1" s="164" t="s">
        <v>3</v>
      </c>
      <c r="G1" s="165" t="s">
        <v>4</v>
      </c>
      <c r="H1" s="166" t="s">
        <v>5</v>
      </c>
      <c r="I1" s="164" t="s">
        <v>6</v>
      </c>
      <c r="J1" s="164" t="s">
        <v>7</v>
      </c>
      <c r="K1" s="22"/>
      <c r="L1" s="22"/>
      <c r="M1" s="22"/>
    </row>
    <row r="2">
      <c r="A2" s="17" t="s">
        <v>850</v>
      </c>
      <c r="B2" s="167" t="str">
        <f>IF(ISBLANK(A2),"",VLOOKUP(A2,DOI_URL!$B$1:$C$74,2,FALSE()))</f>
        <v>https://drive.google.com/file/d/1WB4bRmEaMauWYto_I6204wWGJmEuQW4t/view?usp=sharing</v>
      </c>
      <c r="C2" s="17" t="s">
        <v>3311</v>
      </c>
      <c r="D2" s="22"/>
      <c r="E2" s="17" t="s">
        <v>852</v>
      </c>
      <c r="F2" s="17" t="s">
        <v>170</v>
      </c>
      <c r="G2" s="17" t="s">
        <v>853</v>
      </c>
      <c r="H2" s="17" t="s">
        <v>2637</v>
      </c>
      <c r="I2" s="17" t="s">
        <v>106</v>
      </c>
      <c r="J2" s="17" t="s">
        <v>806</v>
      </c>
      <c r="K2" s="22"/>
      <c r="L2" s="22"/>
      <c r="M2" s="22"/>
    </row>
    <row r="3">
      <c r="A3" s="17" t="s">
        <v>850</v>
      </c>
      <c r="B3" s="167" t="str">
        <f>IF(ISBLANK(A3),"",VLOOKUP(A3,DOI_URL!$B$1:$C$74,2,FALSE()))</f>
        <v>https://drive.google.com/file/d/1WB4bRmEaMauWYto_I6204wWGJmEuQW4t/view?usp=sharing</v>
      </c>
      <c r="C3" s="17" t="s">
        <v>3311</v>
      </c>
      <c r="D3" s="22"/>
      <c r="E3" s="17" t="s">
        <v>856</v>
      </c>
      <c r="F3" s="17" t="s">
        <v>857</v>
      </c>
      <c r="G3" s="17" t="s">
        <v>858</v>
      </c>
      <c r="H3" s="17" t="s">
        <v>859</v>
      </c>
      <c r="I3" s="17" t="s">
        <v>54</v>
      </c>
      <c r="J3" s="17" t="s">
        <v>806</v>
      </c>
      <c r="K3" s="22"/>
      <c r="L3" s="22"/>
      <c r="M3" s="22"/>
    </row>
    <row r="4">
      <c r="A4" s="17" t="s">
        <v>850</v>
      </c>
      <c r="B4" s="167" t="str">
        <f>IF(ISBLANK(A4),"",VLOOKUP(A4,DOI_URL!$B$1:$C$74,2,FALSE()))</f>
        <v>https://drive.google.com/file/d/1WB4bRmEaMauWYto_I6204wWGJmEuQW4t/view?usp=sharing</v>
      </c>
      <c r="C4" s="17" t="s">
        <v>3311</v>
      </c>
      <c r="D4" s="22"/>
      <c r="E4" s="17" t="s">
        <v>868</v>
      </c>
      <c r="F4" s="17" t="s">
        <v>170</v>
      </c>
      <c r="G4" s="17" t="s">
        <v>2638</v>
      </c>
      <c r="H4" s="17" t="s">
        <v>2639</v>
      </c>
      <c r="I4" s="17" t="s">
        <v>14</v>
      </c>
      <c r="J4" s="17" t="s">
        <v>806</v>
      </c>
      <c r="K4" s="22"/>
      <c r="L4" s="22"/>
      <c r="M4" s="22"/>
    </row>
    <row r="5">
      <c r="A5" s="17" t="s">
        <v>850</v>
      </c>
      <c r="B5" s="167" t="str">
        <f>IF(ISBLANK(A5),"",VLOOKUP(A5,DOI_URL!$B$1:$C$74,2,FALSE()))</f>
        <v>https://drive.google.com/file/d/1WB4bRmEaMauWYto_I6204wWGJmEuQW4t/view?usp=sharing</v>
      </c>
      <c r="C5" s="17" t="s">
        <v>3311</v>
      </c>
      <c r="D5" s="22"/>
      <c r="E5" s="17" t="s">
        <v>868</v>
      </c>
      <c r="F5" s="17" t="s">
        <v>857</v>
      </c>
      <c r="G5" s="17" t="s">
        <v>2640</v>
      </c>
      <c r="H5" s="17" t="s">
        <v>870</v>
      </c>
      <c r="I5" s="17" t="s">
        <v>39</v>
      </c>
      <c r="J5" s="17" t="s">
        <v>806</v>
      </c>
      <c r="K5" s="22"/>
      <c r="L5" s="22"/>
      <c r="M5" s="22"/>
    </row>
    <row r="6">
      <c r="A6" s="17" t="s">
        <v>369</v>
      </c>
      <c r="B6" s="167" t="str">
        <f>IF(ISBLANK(A6),"",VLOOKUP(A6,DOI_URL!$B$1:$C$74,2,FALSE()))</f>
        <v>https://drive.google.com/file/d/1N0m-gh-0vYEXJsfBFc5eTKSdH0YIsn92/view?usp=sharing</v>
      </c>
      <c r="C6" s="17" t="s">
        <v>3311</v>
      </c>
      <c r="D6" s="22"/>
      <c r="E6" s="17" t="s">
        <v>2398</v>
      </c>
      <c r="F6" s="17" t="s">
        <v>2399</v>
      </c>
      <c r="G6" s="17" t="s">
        <v>2400</v>
      </c>
      <c r="H6" s="17" t="s">
        <v>2401</v>
      </c>
      <c r="I6" s="17" t="s">
        <v>54</v>
      </c>
      <c r="J6" s="17" t="s">
        <v>372</v>
      </c>
      <c r="K6" s="22"/>
      <c r="L6" s="22"/>
      <c r="M6" s="22"/>
    </row>
    <row r="7">
      <c r="A7" s="168" t="s">
        <v>875</v>
      </c>
      <c r="B7" s="167" t="str">
        <f>IF(ISBLANK(A7),"",VLOOKUP(A7,DOI_URL!$B$1:$C$74,2,FALSE()))</f>
        <v>https://drive.google.com/file/d/1PTPvJA7ZjcblZUOeskCoCQ0j7ILEaJ3d/view?usp=sharing</v>
      </c>
      <c r="C7" s="17" t="s">
        <v>3311</v>
      </c>
      <c r="D7" s="22"/>
      <c r="E7" s="17" t="s">
        <v>2643</v>
      </c>
      <c r="F7" s="17" t="s">
        <v>170</v>
      </c>
      <c r="G7" s="17" t="s">
        <v>879</v>
      </c>
      <c r="H7" s="17" t="s">
        <v>878</v>
      </c>
      <c r="I7" s="17" t="s">
        <v>20</v>
      </c>
      <c r="J7" s="17" t="s">
        <v>880</v>
      </c>
      <c r="K7" s="22"/>
      <c r="L7" s="22"/>
      <c r="M7" s="22"/>
    </row>
    <row r="8">
      <c r="A8" s="168" t="s">
        <v>875</v>
      </c>
      <c r="B8" s="167" t="str">
        <f>IF(ISBLANK(A8),"",VLOOKUP(A8,DOI_URL!$B$1:$C$74,2,FALSE()))</f>
        <v>https://drive.google.com/file/d/1PTPvJA7ZjcblZUOeskCoCQ0j7ILEaJ3d/view?usp=sharing</v>
      </c>
      <c r="C8" s="17" t="s">
        <v>3311</v>
      </c>
      <c r="D8" s="22"/>
      <c r="E8" s="17" t="s">
        <v>909</v>
      </c>
      <c r="F8" s="17" t="s">
        <v>170</v>
      </c>
      <c r="G8" s="17" t="s">
        <v>1099</v>
      </c>
      <c r="H8" s="17" t="s">
        <v>2644</v>
      </c>
      <c r="I8" s="17" t="s">
        <v>20</v>
      </c>
      <c r="J8" s="17" t="s">
        <v>880</v>
      </c>
      <c r="K8" s="22"/>
      <c r="L8" s="22"/>
      <c r="M8" s="22"/>
    </row>
    <row r="9">
      <c r="A9" s="168" t="s">
        <v>875</v>
      </c>
      <c r="B9" s="167" t="str">
        <f>IF(ISBLANK(A9),"",VLOOKUP(A9,DOI_URL!$B$1:$C$74,2,FALSE()))</f>
        <v>https://drive.google.com/file/d/1PTPvJA7ZjcblZUOeskCoCQ0j7ILEaJ3d/view?usp=sharing</v>
      </c>
      <c r="C9" s="17" t="s">
        <v>3311</v>
      </c>
      <c r="D9" s="22"/>
      <c r="E9" s="17" t="s">
        <v>909</v>
      </c>
      <c r="F9" s="17" t="s">
        <v>170</v>
      </c>
      <c r="G9" s="17" t="s">
        <v>2645</v>
      </c>
      <c r="H9" s="17" t="s">
        <v>2646</v>
      </c>
      <c r="I9" s="17" t="s">
        <v>20</v>
      </c>
      <c r="J9" s="17" t="s">
        <v>880</v>
      </c>
      <c r="K9" s="22"/>
      <c r="L9" s="22"/>
      <c r="M9" s="22"/>
    </row>
    <row r="10">
      <c r="A10" s="168" t="s">
        <v>875</v>
      </c>
      <c r="B10" s="167" t="str">
        <f>IF(ISBLANK(A10),"",VLOOKUP(A10,DOI_URL!$B$1:$C$74,2,FALSE()))</f>
        <v>https://drive.google.com/file/d/1PTPvJA7ZjcblZUOeskCoCQ0j7ILEaJ3d/view?usp=sharing</v>
      </c>
      <c r="C10" s="17" t="s">
        <v>3311</v>
      </c>
      <c r="D10" s="22"/>
      <c r="E10" s="17" t="s">
        <v>909</v>
      </c>
      <c r="F10" s="17" t="s">
        <v>170</v>
      </c>
      <c r="G10" s="17" t="s">
        <v>2647</v>
      </c>
      <c r="H10" s="17"/>
      <c r="I10" s="17" t="s">
        <v>54</v>
      </c>
      <c r="J10" s="17" t="s">
        <v>880</v>
      </c>
      <c r="K10" s="22"/>
      <c r="L10" s="22"/>
      <c r="M10" s="22"/>
    </row>
    <row r="11">
      <c r="A11" s="168" t="s">
        <v>875</v>
      </c>
      <c r="B11" s="167" t="str">
        <f>IF(ISBLANK(A11),"",VLOOKUP(A11,DOI_URL!$B$1:$C$74,2,FALSE()))</f>
        <v>https://drive.google.com/file/d/1PTPvJA7ZjcblZUOeskCoCQ0j7ILEaJ3d/view?usp=sharing</v>
      </c>
      <c r="C11" s="17" t="s">
        <v>3311</v>
      </c>
      <c r="D11" s="22"/>
      <c r="E11" s="17" t="s">
        <v>909</v>
      </c>
      <c r="F11" s="17" t="s">
        <v>910</v>
      </c>
      <c r="G11" s="17" t="s">
        <v>2648</v>
      </c>
      <c r="H11" s="22" t="s">
        <v>2649</v>
      </c>
      <c r="I11" s="17" t="s">
        <v>54</v>
      </c>
      <c r="J11" s="17" t="s">
        <v>880</v>
      </c>
      <c r="K11" s="22"/>
      <c r="L11" s="22"/>
      <c r="M11" s="22"/>
    </row>
    <row r="12">
      <c r="A12" s="168" t="s">
        <v>875</v>
      </c>
      <c r="B12" s="167" t="str">
        <f>IF(ISBLANK(A12),"",VLOOKUP(A12,DOI_URL!$B$1:$C$74,2,FALSE()))</f>
        <v>https://drive.google.com/file/d/1PTPvJA7ZjcblZUOeskCoCQ0j7ILEaJ3d/view?usp=sharing</v>
      </c>
      <c r="C12" s="17" t="s">
        <v>3311</v>
      </c>
      <c r="D12" s="22"/>
      <c r="E12" s="17" t="s">
        <v>909</v>
      </c>
      <c r="F12" s="17" t="s">
        <v>910</v>
      </c>
      <c r="G12" s="17" t="s">
        <v>911</v>
      </c>
      <c r="H12" s="17"/>
      <c r="I12" s="17" t="s">
        <v>54</v>
      </c>
      <c r="J12" s="17" t="s">
        <v>880</v>
      </c>
      <c r="K12" s="169" t="s">
        <v>875</v>
      </c>
      <c r="L12" s="167" t="str">
        <f>IF(ISBLANK(K12),"",VLOOKUP(K12,DOI_URL!$B$1:$C$74,2,FALSE()))</f>
        <v>https://drive.google.com/file/d/1PTPvJA7ZjcblZUOeskCoCQ0j7ILEaJ3d/view?usp=sharing</v>
      </c>
      <c r="M12" s="22" t="s">
        <v>3311</v>
      </c>
    </row>
    <row r="13">
      <c r="A13" s="168" t="s">
        <v>875</v>
      </c>
      <c r="B13" s="167" t="str">
        <f>IF(ISBLANK(A13),"",VLOOKUP(A13,DOI_URL!$B$1:$C$74,2,FALSE()))</f>
        <v>https://drive.google.com/file/d/1PTPvJA7ZjcblZUOeskCoCQ0j7ILEaJ3d/view?usp=sharing</v>
      </c>
      <c r="C13" s="17" t="s">
        <v>3311</v>
      </c>
      <c r="D13" s="22"/>
      <c r="E13" s="17" t="s">
        <v>2650</v>
      </c>
      <c r="F13" s="17" t="s">
        <v>857</v>
      </c>
      <c r="G13" s="17" t="s">
        <v>2651</v>
      </c>
      <c r="H13" s="22"/>
      <c r="I13" s="17" t="s">
        <v>39</v>
      </c>
      <c r="J13" s="17" t="s">
        <v>880</v>
      </c>
      <c r="K13" s="17"/>
      <c r="L13" s="22"/>
      <c r="M13" s="17"/>
      <c r="N13" s="8"/>
      <c r="O13" s="1" t="s">
        <v>909</v>
      </c>
      <c r="P13" s="1" t="s">
        <v>910</v>
      </c>
      <c r="Q13" s="1" t="s">
        <v>2648</v>
      </c>
      <c r="R13" s="1" t="s">
        <v>2649</v>
      </c>
      <c r="S13" s="1" t="s">
        <v>54</v>
      </c>
      <c r="T13" s="1" t="s">
        <v>880</v>
      </c>
      <c r="U13" s="51" t="s">
        <v>875</v>
      </c>
      <c r="V13" s="170" t="str">
        <f>IF(ISBLANK(U13),"",VLOOKUP(U13,DOI_URL!$B$1:$C$74,2,FALSE()))</f>
        <v>https://drive.google.com/file/d/1PTPvJA7ZjcblZUOeskCoCQ0j7ILEaJ3d/view?usp=sharing</v>
      </c>
      <c r="W13" s="1" t="s">
        <v>3311</v>
      </c>
      <c r="X13" s="8"/>
      <c r="Y13" s="1" t="s">
        <v>909</v>
      </c>
      <c r="Z13" s="1" t="s">
        <v>910</v>
      </c>
      <c r="AA13" s="1" t="s">
        <v>2648</v>
      </c>
      <c r="AB13" s="1" t="s">
        <v>2649</v>
      </c>
      <c r="AC13" s="1" t="s">
        <v>54</v>
      </c>
      <c r="AD13" s="1" t="s">
        <v>880</v>
      </c>
    </row>
    <row r="14">
      <c r="A14" s="168" t="s">
        <v>935</v>
      </c>
      <c r="B14" s="167" t="str">
        <f>IF(ISBLANK(A14),"",VLOOKUP(A14,DOI_URL!$B$1:$C$74,2,FALSE()))</f>
        <v>https://drive.google.com/file/d/1_A7dpMqAYi0iMFQbAhNZqBDiVWtZ9Ras/view?usp=sharing</v>
      </c>
      <c r="C14" s="17" t="s">
        <v>3311</v>
      </c>
      <c r="D14" s="22"/>
      <c r="E14" s="17" t="s">
        <v>950</v>
      </c>
      <c r="F14" s="17" t="s">
        <v>2664</v>
      </c>
      <c r="G14" s="17" t="s">
        <v>989</v>
      </c>
      <c r="H14" s="22"/>
      <c r="I14" s="17" t="s">
        <v>44</v>
      </c>
      <c r="J14" s="17" t="s">
        <v>2665</v>
      </c>
      <c r="K14" s="22"/>
      <c r="L14" s="22"/>
      <c r="M14" s="22"/>
    </row>
    <row r="15">
      <c r="A15" s="168" t="s">
        <v>935</v>
      </c>
      <c r="B15" s="167" t="str">
        <f>IF(ISBLANK(A15),"",VLOOKUP(A15,DOI_URL!$B$1:$C$74,2,FALSE()))</f>
        <v>https://drive.google.com/file/d/1_A7dpMqAYi0iMFQbAhNZqBDiVWtZ9Ras/view?usp=sharing</v>
      </c>
      <c r="C15" s="17" t="s">
        <v>3311</v>
      </c>
      <c r="D15" s="22"/>
      <c r="E15" s="17" t="s">
        <v>2666</v>
      </c>
      <c r="F15" s="17" t="s">
        <v>857</v>
      </c>
      <c r="G15" s="17" t="s">
        <v>2640</v>
      </c>
      <c r="H15" s="22"/>
      <c r="I15" s="17" t="s">
        <v>39</v>
      </c>
      <c r="J15" s="17" t="s">
        <v>2665</v>
      </c>
      <c r="K15" s="22"/>
      <c r="L15" s="22"/>
      <c r="M15" s="22"/>
    </row>
    <row r="16">
      <c r="A16" s="168" t="s">
        <v>935</v>
      </c>
      <c r="B16" s="167" t="str">
        <f>IF(ISBLANK(A16),"",VLOOKUP(A16,DOI_URL!$B$1:$C$74,2,FALSE()))</f>
        <v>https://drive.google.com/file/d/1_A7dpMqAYi0iMFQbAhNZqBDiVWtZ9Ras/view?usp=sharing</v>
      </c>
      <c r="C16" s="17" t="s">
        <v>3311</v>
      </c>
      <c r="D16" s="22"/>
      <c r="E16" s="17" t="s">
        <v>2666</v>
      </c>
      <c r="F16" s="17" t="s">
        <v>857</v>
      </c>
      <c r="G16" s="17" t="s">
        <v>2341</v>
      </c>
      <c r="H16" s="22"/>
      <c r="I16" s="17" t="s">
        <v>39</v>
      </c>
      <c r="J16" s="17" t="s">
        <v>2665</v>
      </c>
      <c r="K16" s="22"/>
      <c r="L16" s="22"/>
      <c r="M16" s="22"/>
    </row>
    <row r="17">
      <c r="A17" s="168" t="s">
        <v>935</v>
      </c>
      <c r="B17" s="167" t="str">
        <f>IF(ISBLANK(A17),"",VLOOKUP(A17,DOI_URL!$B$1:$C$74,2,FALSE()))</f>
        <v>https://drive.google.com/file/d/1_A7dpMqAYi0iMFQbAhNZqBDiVWtZ9Ras/view?usp=sharing</v>
      </c>
      <c r="C17" s="17" t="s">
        <v>3311</v>
      </c>
      <c r="D17" s="22"/>
      <c r="E17" s="17" t="s">
        <v>2666</v>
      </c>
      <c r="F17" s="17" t="s">
        <v>857</v>
      </c>
      <c r="G17" s="17" t="s">
        <v>2419</v>
      </c>
      <c r="H17" s="22"/>
      <c r="I17" s="17" t="s">
        <v>39</v>
      </c>
      <c r="J17" s="17" t="s">
        <v>2665</v>
      </c>
      <c r="K17" s="22"/>
      <c r="L17" s="22"/>
      <c r="M17" s="22"/>
    </row>
    <row r="18">
      <c r="A18" s="168" t="s">
        <v>935</v>
      </c>
      <c r="B18" s="167" t="str">
        <f>IF(ISBLANK(A18),"",VLOOKUP(A18,DOI_URL!$B$1:$C$74,2,FALSE()))</f>
        <v>https://drive.google.com/file/d/1_A7dpMqAYi0iMFQbAhNZqBDiVWtZ9Ras/view?usp=sharing</v>
      </c>
      <c r="C18" s="17" t="s">
        <v>3311</v>
      </c>
      <c r="D18" s="22"/>
      <c r="E18" s="17" t="s">
        <v>2666</v>
      </c>
      <c r="F18" s="17" t="s">
        <v>170</v>
      </c>
      <c r="G18" s="17" t="s">
        <v>828</v>
      </c>
      <c r="H18" s="22"/>
      <c r="I18" s="17" t="s">
        <v>54</v>
      </c>
      <c r="J18" s="17" t="s">
        <v>2665</v>
      </c>
      <c r="K18" s="22"/>
      <c r="L18" s="22"/>
      <c r="M18" s="22"/>
    </row>
    <row r="19">
      <c r="A19" s="168" t="s">
        <v>935</v>
      </c>
      <c r="B19" s="167" t="str">
        <f>IF(ISBLANK(A19),"",VLOOKUP(A19,DOI_URL!$B$1:$C$74,2,FALSE()))</f>
        <v>https://drive.google.com/file/d/1_A7dpMqAYi0iMFQbAhNZqBDiVWtZ9Ras/view?usp=sharing</v>
      </c>
      <c r="C19" s="17" t="s">
        <v>3311</v>
      </c>
      <c r="D19" s="22"/>
      <c r="E19" s="17" t="s">
        <v>2666</v>
      </c>
      <c r="F19" s="17" t="s">
        <v>170</v>
      </c>
      <c r="G19" s="17" t="s">
        <v>2667</v>
      </c>
      <c r="H19" s="22"/>
      <c r="I19" s="17" t="s">
        <v>54</v>
      </c>
      <c r="J19" s="17" t="s">
        <v>2665</v>
      </c>
      <c r="K19" s="22"/>
      <c r="L19" s="22"/>
      <c r="M19" s="22"/>
    </row>
    <row r="20">
      <c r="A20" s="168" t="s">
        <v>935</v>
      </c>
      <c r="B20" s="167" t="str">
        <f>IF(ISBLANK(A20),"",VLOOKUP(A20,DOI_URL!$B$1:$C$74,2,FALSE()))</f>
        <v>https://drive.google.com/file/d/1_A7dpMqAYi0iMFQbAhNZqBDiVWtZ9Ras/view?usp=sharing</v>
      </c>
      <c r="C20" s="17" t="s">
        <v>3311</v>
      </c>
      <c r="D20" s="22"/>
      <c r="E20" s="17" t="s">
        <v>2666</v>
      </c>
      <c r="F20" s="17" t="s">
        <v>170</v>
      </c>
      <c r="G20" s="17" t="s">
        <v>2668</v>
      </c>
      <c r="H20" s="22"/>
      <c r="I20" s="17" t="s">
        <v>54</v>
      </c>
      <c r="J20" s="17" t="s">
        <v>2665</v>
      </c>
      <c r="K20" s="22"/>
      <c r="L20" s="22"/>
      <c r="M20" s="22"/>
    </row>
    <row r="21">
      <c r="A21" s="168" t="s">
        <v>935</v>
      </c>
      <c r="B21" s="167" t="str">
        <f>IF(ISBLANK(A21),"",VLOOKUP(A21,DOI_URL!$B$1:$C$74,2,FALSE()))</f>
        <v>https://drive.google.com/file/d/1_A7dpMqAYi0iMFQbAhNZqBDiVWtZ9Ras/view?usp=sharing</v>
      </c>
      <c r="C21" s="17" t="s">
        <v>3311</v>
      </c>
      <c r="D21" s="22"/>
      <c r="E21" s="17" t="s">
        <v>2669</v>
      </c>
      <c r="F21" s="17" t="s">
        <v>857</v>
      </c>
      <c r="G21" s="17" t="s">
        <v>2670</v>
      </c>
      <c r="H21" s="22"/>
      <c r="I21" s="17" t="s">
        <v>39</v>
      </c>
      <c r="J21" s="17" t="s">
        <v>2665</v>
      </c>
      <c r="K21" s="22"/>
      <c r="L21" s="22"/>
      <c r="M21" s="22"/>
    </row>
    <row r="22">
      <c r="A22" s="168" t="s">
        <v>935</v>
      </c>
      <c r="B22" s="167" t="str">
        <f>IF(ISBLANK(A22),"",VLOOKUP(A22,DOI_URL!$B$1:$C$74,2,FALSE()))</f>
        <v>https://drive.google.com/file/d/1_A7dpMqAYi0iMFQbAhNZqBDiVWtZ9Ras/view?usp=sharing</v>
      </c>
      <c r="C22" s="17" t="s">
        <v>3311</v>
      </c>
      <c r="D22" s="22"/>
      <c r="E22" s="17" t="s">
        <v>2669</v>
      </c>
      <c r="F22" s="17" t="s">
        <v>857</v>
      </c>
      <c r="G22" s="17" t="s">
        <v>2671</v>
      </c>
      <c r="H22" s="22"/>
      <c r="I22" s="17" t="s">
        <v>39</v>
      </c>
      <c r="J22" s="17" t="s">
        <v>2665</v>
      </c>
      <c r="K22" s="22"/>
      <c r="L22" s="22"/>
      <c r="M22" s="22"/>
    </row>
    <row r="23">
      <c r="A23" s="168" t="s">
        <v>935</v>
      </c>
      <c r="B23" s="167" t="str">
        <f>IF(ISBLANK(A23),"",VLOOKUP(A23,DOI_URL!$B$1:$C$74,2,FALSE()))</f>
        <v>https://drive.google.com/file/d/1_A7dpMqAYi0iMFQbAhNZqBDiVWtZ9Ras/view?usp=sharing</v>
      </c>
      <c r="C23" s="17" t="s">
        <v>3311</v>
      </c>
      <c r="D23" s="22"/>
      <c r="E23" s="17" t="s">
        <v>2669</v>
      </c>
      <c r="F23" s="17" t="s">
        <v>857</v>
      </c>
      <c r="G23" s="17" t="s">
        <v>2672</v>
      </c>
      <c r="H23" s="22"/>
      <c r="I23" s="17" t="s">
        <v>39</v>
      </c>
      <c r="J23" s="17" t="s">
        <v>2665</v>
      </c>
      <c r="K23" s="22"/>
      <c r="L23" s="22"/>
      <c r="M23" s="22"/>
    </row>
    <row r="24">
      <c r="A24" s="168" t="s">
        <v>935</v>
      </c>
      <c r="B24" s="167" t="str">
        <f>IF(ISBLANK(A24),"",VLOOKUP(A24,DOI_URL!$B$1:$C$74,2,FALSE()))</f>
        <v>https://drive.google.com/file/d/1_A7dpMqAYi0iMFQbAhNZqBDiVWtZ9Ras/view?usp=sharing</v>
      </c>
      <c r="C24" s="17" t="s">
        <v>3311</v>
      </c>
      <c r="D24" s="22"/>
      <c r="E24" s="17" t="s">
        <v>2669</v>
      </c>
      <c r="F24" s="17" t="s">
        <v>857</v>
      </c>
      <c r="G24" s="17" t="s">
        <v>2673</v>
      </c>
      <c r="H24" s="22"/>
      <c r="I24" s="17" t="s">
        <v>39</v>
      </c>
      <c r="J24" s="17" t="s">
        <v>2665</v>
      </c>
      <c r="K24" s="22"/>
      <c r="L24" s="22"/>
      <c r="M24" s="22"/>
    </row>
    <row r="25">
      <c r="A25" s="168" t="s">
        <v>957</v>
      </c>
      <c r="B25" s="167" t="str">
        <f>IF(ISBLANK(A25),"",VLOOKUP(A25,DOI_URL!$B$1:$C$74,2,FALSE()))</f>
        <v>https://drive.google.com/file/d/1bfMF0N1lwW9T-NVTC37xfEZUGPKXJxJY/view?usp=sharing</v>
      </c>
      <c r="C25" s="17" t="s">
        <v>3309</v>
      </c>
      <c r="D25" s="22"/>
      <c r="E25" s="17"/>
      <c r="F25" s="17"/>
      <c r="G25" s="17"/>
      <c r="H25" s="22"/>
      <c r="I25" s="17"/>
      <c r="J25" s="17"/>
      <c r="K25" s="27" t="s">
        <v>3332</v>
      </c>
      <c r="L25" s="22"/>
      <c r="M25" s="22"/>
    </row>
    <row r="26">
      <c r="A26" s="168" t="s">
        <v>973</v>
      </c>
      <c r="B26" s="167" t="str">
        <f>IF(ISBLANK(A26),"",VLOOKUP(A26,DOI_URL!$B$1:$C$74,2,FALSE()))</f>
        <v>https://drive.google.com/file/d/1lzQxE7Lznh7QCyVfnpvQMLtOojWtVIMB/view?usp=sharing</v>
      </c>
      <c r="C26" s="17" t="s">
        <v>3311</v>
      </c>
      <c r="D26" s="22"/>
      <c r="E26" s="22" t="s">
        <v>976</v>
      </c>
      <c r="F26" s="22" t="s">
        <v>977</v>
      </c>
      <c r="G26" s="22" t="s">
        <v>978</v>
      </c>
      <c r="H26" s="22" t="s">
        <v>2676</v>
      </c>
      <c r="I26" s="22" t="s">
        <v>54</v>
      </c>
      <c r="J26" s="22" t="s">
        <v>372</v>
      </c>
      <c r="K26" s="17"/>
      <c r="L26" s="22"/>
      <c r="M26" s="22"/>
    </row>
    <row r="27">
      <c r="A27" s="168" t="s">
        <v>973</v>
      </c>
      <c r="B27" s="167" t="str">
        <f>IF(ISBLANK(A27),"",VLOOKUP(A27,DOI_URL!$B$1:$C$74,2,FALSE()))</f>
        <v>https://drive.google.com/file/d/1lzQxE7Lznh7QCyVfnpvQMLtOojWtVIMB/view?usp=sharing</v>
      </c>
      <c r="C27" s="17" t="s">
        <v>3311</v>
      </c>
      <c r="D27" s="22"/>
      <c r="E27" s="17" t="s">
        <v>980</v>
      </c>
      <c r="F27" s="17" t="s">
        <v>981</v>
      </c>
      <c r="G27" s="17" t="s">
        <v>2677</v>
      </c>
      <c r="H27" s="17" t="s">
        <v>982</v>
      </c>
      <c r="I27" s="17" t="s">
        <v>39</v>
      </c>
      <c r="J27" s="17" t="s">
        <v>372</v>
      </c>
      <c r="K27" s="22"/>
      <c r="L27" s="22"/>
      <c r="M27" s="22"/>
    </row>
    <row r="28">
      <c r="A28" s="168" t="s">
        <v>973</v>
      </c>
      <c r="B28" s="167" t="str">
        <f>IF(ISBLANK(A28),"",VLOOKUP(A28,DOI_URL!$B$1:$C$74,2,FALSE()))</f>
        <v>https://drive.google.com/file/d/1lzQxE7Lznh7QCyVfnpvQMLtOojWtVIMB/view?usp=sharing</v>
      </c>
      <c r="C28" s="17" t="s">
        <v>3311</v>
      </c>
      <c r="D28" s="22"/>
      <c r="E28" s="17" t="s">
        <v>980</v>
      </c>
      <c r="F28" s="17" t="s">
        <v>981</v>
      </c>
      <c r="G28" s="17" t="s">
        <v>985</v>
      </c>
      <c r="H28" s="17" t="s">
        <v>984</v>
      </c>
      <c r="I28" s="17" t="s">
        <v>39</v>
      </c>
      <c r="J28" s="17" t="s">
        <v>372</v>
      </c>
      <c r="K28" s="22"/>
      <c r="L28" s="22"/>
      <c r="M28" s="22"/>
    </row>
    <row r="29">
      <c r="A29" s="168" t="s">
        <v>986</v>
      </c>
      <c r="B29" s="167" t="str">
        <f>IF(ISBLANK(A29),"",VLOOKUP(A29,DOI_URL!$B$1:$C$74,2,FALSE()))</f>
        <v>https://drive.google.com/file/d/1F1Kd_joBZStJrlvjXvXBS3_dfyUR5vgX/view?usp=sharing</v>
      </c>
      <c r="C29" s="17" t="s">
        <v>3311</v>
      </c>
      <c r="D29" s="22"/>
      <c r="E29" s="17" t="s">
        <v>987</v>
      </c>
      <c r="F29" s="17" t="s">
        <v>988</v>
      </c>
      <c r="G29" s="17" t="s">
        <v>989</v>
      </c>
      <c r="H29" s="17"/>
      <c r="I29" s="17" t="s">
        <v>44</v>
      </c>
      <c r="J29" s="17" t="s">
        <v>2680</v>
      </c>
      <c r="K29" s="22"/>
      <c r="L29" s="22"/>
      <c r="M29" s="22"/>
    </row>
    <row r="30">
      <c r="A30" s="168" t="s">
        <v>986</v>
      </c>
      <c r="B30" s="167" t="str">
        <f>IF(ISBLANK(A30),"",VLOOKUP(A30,DOI_URL!$B$1:$C$74,2,FALSE()))</f>
        <v>https://drive.google.com/file/d/1F1Kd_joBZStJrlvjXvXBS3_dfyUR5vgX/view?usp=sharing</v>
      </c>
      <c r="C30" s="17" t="s">
        <v>3311</v>
      </c>
      <c r="D30" s="22"/>
      <c r="E30" s="17" t="s">
        <v>987</v>
      </c>
      <c r="F30" s="17" t="s">
        <v>191</v>
      </c>
      <c r="G30" s="17" t="s">
        <v>2681</v>
      </c>
      <c r="H30" s="22"/>
      <c r="I30" s="17" t="s">
        <v>44</v>
      </c>
      <c r="J30" s="17" t="s">
        <v>2680</v>
      </c>
      <c r="K30" s="22"/>
      <c r="L30" s="22"/>
      <c r="M30" s="22"/>
    </row>
    <row r="31">
      <c r="A31" s="168" t="s">
        <v>986</v>
      </c>
      <c r="B31" s="167" t="str">
        <f>IF(ISBLANK(A31),"",VLOOKUP(A31,DOI_URL!$B$1:$C$74,2,FALSE()))</f>
        <v>https://drive.google.com/file/d/1F1Kd_joBZStJrlvjXvXBS3_dfyUR5vgX/view?usp=sharing</v>
      </c>
      <c r="C31" s="17" t="s">
        <v>3311</v>
      </c>
      <c r="D31" s="22"/>
      <c r="E31" s="17" t="s">
        <v>992</v>
      </c>
      <c r="F31" s="17" t="s">
        <v>191</v>
      </c>
      <c r="G31" s="17" t="s">
        <v>993</v>
      </c>
      <c r="H31" s="22"/>
      <c r="I31" s="17" t="s">
        <v>106</v>
      </c>
      <c r="J31" s="17" t="s">
        <v>2680</v>
      </c>
      <c r="K31" s="22"/>
      <c r="L31" s="22"/>
      <c r="M31" s="22"/>
    </row>
    <row r="32">
      <c r="A32" s="168" t="s">
        <v>986</v>
      </c>
      <c r="B32" s="167" t="str">
        <f>IF(ISBLANK(A32),"",VLOOKUP(A32,DOI_URL!$B$1:$C$74,2,FALSE()))</f>
        <v>https://drive.google.com/file/d/1F1Kd_joBZStJrlvjXvXBS3_dfyUR5vgX/view?usp=sharing</v>
      </c>
      <c r="C32" s="17" t="s">
        <v>3311</v>
      </c>
      <c r="D32" s="22"/>
      <c r="E32" s="17" t="s">
        <v>2682</v>
      </c>
      <c r="F32" s="17" t="s">
        <v>2683</v>
      </c>
      <c r="G32" s="17" t="s">
        <v>2684</v>
      </c>
      <c r="H32" s="22"/>
      <c r="I32" s="17" t="s">
        <v>14</v>
      </c>
      <c r="J32" s="17" t="s">
        <v>2680</v>
      </c>
      <c r="K32" s="22"/>
      <c r="L32" s="22"/>
      <c r="M32" s="22"/>
    </row>
    <row r="33">
      <c r="A33" s="168" t="s">
        <v>986</v>
      </c>
      <c r="B33" s="167" t="str">
        <f>IF(ISBLANK(A33),"",VLOOKUP(A33,DOI_URL!$B$1:$C$74,2,FALSE()))</f>
        <v>https://drive.google.com/file/d/1F1Kd_joBZStJrlvjXvXBS3_dfyUR5vgX/view?usp=sharing</v>
      </c>
      <c r="C33" s="17" t="s">
        <v>3311</v>
      </c>
      <c r="D33" s="22"/>
      <c r="E33" s="17" t="s">
        <v>2682</v>
      </c>
      <c r="F33" s="17" t="s">
        <v>2683</v>
      </c>
      <c r="G33" s="17" t="s">
        <v>2685</v>
      </c>
      <c r="H33" s="22"/>
      <c r="I33" s="17" t="s">
        <v>14</v>
      </c>
      <c r="J33" s="17" t="s">
        <v>2680</v>
      </c>
      <c r="K33" s="22"/>
      <c r="L33" s="22"/>
      <c r="M33" s="22"/>
    </row>
    <row r="34">
      <c r="A34" s="168" t="s">
        <v>986</v>
      </c>
      <c r="B34" s="167" t="str">
        <f>IF(ISBLANK(A34),"",VLOOKUP(A34,DOI_URL!$B$1:$C$74,2,FALSE()))</f>
        <v>https://drive.google.com/file/d/1F1Kd_joBZStJrlvjXvXBS3_dfyUR5vgX/view?usp=sharing</v>
      </c>
      <c r="C34" s="17" t="s">
        <v>3311</v>
      </c>
      <c r="D34" s="22"/>
      <c r="E34" s="17" t="s">
        <v>2682</v>
      </c>
      <c r="F34" s="17" t="s">
        <v>170</v>
      </c>
      <c r="G34" s="17" t="s">
        <v>2686</v>
      </c>
      <c r="H34" s="22"/>
      <c r="I34" s="17" t="s">
        <v>54</v>
      </c>
      <c r="J34" s="17" t="s">
        <v>2680</v>
      </c>
      <c r="K34" s="22"/>
      <c r="L34" s="22"/>
      <c r="M34" s="22"/>
    </row>
    <row r="35">
      <c r="A35" s="168" t="s">
        <v>986</v>
      </c>
      <c r="B35" s="167" t="str">
        <f>IF(ISBLANK(A35),"",VLOOKUP(A35,DOI_URL!$B$1:$C$74,2,FALSE()))</f>
        <v>https://drive.google.com/file/d/1F1Kd_joBZStJrlvjXvXBS3_dfyUR5vgX/view?usp=sharing</v>
      </c>
      <c r="C35" s="17" t="s">
        <v>3311</v>
      </c>
      <c r="D35" s="22"/>
      <c r="E35" s="17" t="s">
        <v>1013</v>
      </c>
      <c r="F35" s="17" t="s">
        <v>2683</v>
      </c>
      <c r="G35" s="17" t="s">
        <v>46</v>
      </c>
      <c r="H35" s="22"/>
      <c r="I35" s="17" t="s">
        <v>20</v>
      </c>
      <c r="J35" s="17" t="s">
        <v>2680</v>
      </c>
      <c r="K35" s="22"/>
      <c r="L35" s="22"/>
      <c r="M35" s="22"/>
    </row>
    <row r="36">
      <c r="A36" s="168" t="s">
        <v>986</v>
      </c>
      <c r="B36" s="167" t="str">
        <f>IF(ISBLANK(A36),"",VLOOKUP(A36,DOI_URL!$B$1:$C$74,2,FALSE()))</f>
        <v>https://drive.google.com/file/d/1F1Kd_joBZStJrlvjXvXBS3_dfyUR5vgX/view?usp=sharing</v>
      </c>
      <c r="C36" s="17" t="s">
        <v>3311</v>
      </c>
      <c r="D36" s="22"/>
      <c r="E36" s="17" t="s">
        <v>1013</v>
      </c>
      <c r="F36" s="17" t="s">
        <v>2683</v>
      </c>
      <c r="G36" s="17" t="s">
        <v>1014</v>
      </c>
      <c r="H36" s="22"/>
      <c r="I36" s="17" t="s">
        <v>20</v>
      </c>
      <c r="J36" s="17" t="s">
        <v>2680</v>
      </c>
      <c r="K36" s="22"/>
      <c r="L36" s="22"/>
      <c r="M36" s="22"/>
    </row>
    <row r="37">
      <c r="A37" s="168" t="s">
        <v>986</v>
      </c>
      <c r="B37" s="167" t="str">
        <f>IF(ISBLANK(A37),"",VLOOKUP(A37,DOI_URL!$B$1:$C$74,2,FALSE()))</f>
        <v>https://drive.google.com/file/d/1F1Kd_joBZStJrlvjXvXBS3_dfyUR5vgX/view?usp=sharing</v>
      </c>
      <c r="C37" s="17" t="s">
        <v>3311</v>
      </c>
      <c r="D37" s="22"/>
      <c r="E37" s="17" t="s">
        <v>1019</v>
      </c>
      <c r="F37" s="17" t="s">
        <v>910</v>
      </c>
      <c r="G37" s="17" t="s">
        <v>1023</v>
      </c>
      <c r="H37" s="22"/>
      <c r="I37" s="17" t="s">
        <v>54</v>
      </c>
      <c r="J37" s="17" t="s">
        <v>2680</v>
      </c>
      <c r="K37" s="22"/>
      <c r="L37" s="22"/>
      <c r="M37" s="22"/>
    </row>
    <row r="38">
      <c r="A38" s="168" t="s">
        <v>986</v>
      </c>
      <c r="B38" s="167" t="str">
        <f>IF(ISBLANK(A38),"",VLOOKUP(A38,DOI_URL!$B$1:$C$74,2,FALSE()))</f>
        <v>https://drive.google.com/file/d/1F1Kd_joBZStJrlvjXvXBS3_dfyUR5vgX/view?usp=sharing</v>
      </c>
      <c r="C38" s="17" t="s">
        <v>3311</v>
      </c>
      <c r="D38" s="22"/>
      <c r="E38" s="17" t="s">
        <v>1019</v>
      </c>
      <c r="F38" s="17" t="s">
        <v>910</v>
      </c>
      <c r="G38" s="17" t="s">
        <v>2688</v>
      </c>
      <c r="H38" s="22"/>
      <c r="I38" s="17" t="s">
        <v>39</v>
      </c>
      <c r="J38" s="17" t="s">
        <v>2680</v>
      </c>
      <c r="K38" s="22"/>
      <c r="L38" s="22"/>
      <c r="M38" s="22"/>
    </row>
    <row r="39">
      <c r="A39" s="168" t="s">
        <v>986</v>
      </c>
      <c r="B39" s="167" t="str">
        <f>IF(ISBLANK(A39),"",VLOOKUP(A39,DOI_URL!$B$1:$C$74,2,FALSE()))</f>
        <v>https://drive.google.com/file/d/1F1Kd_joBZStJrlvjXvXBS3_dfyUR5vgX/view?usp=sharing</v>
      </c>
      <c r="C39" s="17" t="s">
        <v>3311</v>
      </c>
      <c r="D39" s="22"/>
      <c r="E39" s="17" t="s">
        <v>1019</v>
      </c>
      <c r="F39" s="17" t="s">
        <v>910</v>
      </c>
      <c r="G39" s="17" t="s">
        <v>2689</v>
      </c>
      <c r="H39" s="22"/>
      <c r="I39" s="17" t="s">
        <v>39</v>
      </c>
      <c r="J39" s="17" t="s">
        <v>2680</v>
      </c>
      <c r="K39" s="22"/>
      <c r="L39" s="22"/>
      <c r="M39" s="22"/>
    </row>
    <row r="40">
      <c r="A40" s="168" t="s">
        <v>986</v>
      </c>
      <c r="B40" s="167" t="str">
        <f>IF(ISBLANK(A40),"",VLOOKUP(A40,DOI_URL!$B$1:$C$74,2,FALSE()))</f>
        <v>https://drive.google.com/file/d/1F1Kd_joBZStJrlvjXvXBS3_dfyUR5vgX/view?usp=sharing</v>
      </c>
      <c r="C40" s="17" t="s">
        <v>3311</v>
      </c>
      <c r="D40" s="22"/>
      <c r="E40" s="17" t="s">
        <v>1019</v>
      </c>
      <c r="F40" s="17" t="s">
        <v>910</v>
      </c>
      <c r="G40" s="17" t="s">
        <v>2421</v>
      </c>
      <c r="H40" s="22"/>
      <c r="I40" s="17" t="s">
        <v>39</v>
      </c>
      <c r="J40" s="17" t="s">
        <v>2680</v>
      </c>
      <c r="K40" s="22"/>
      <c r="L40" s="22"/>
      <c r="M40" s="22"/>
    </row>
    <row r="41">
      <c r="A41" s="168" t="s">
        <v>1030</v>
      </c>
      <c r="B41" s="167" t="str">
        <f>IF(ISBLANK(A41),"",VLOOKUP(A41,DOI_URL!$B$1:$C$74,2,FALSE()))</f>
        <v>https://drive.google.com/file/d/14Qwt8ng0e_U2xaA90g1OkndxdiT9TFqh/view?usp=sharing</v>
      </c>
      <c r="C41" s="17" t="s">
        <v>3311</v>
      </c>
      <c r="D41" s="22"/>
      <c r="E41" s="17" t="s">
        <v>1032</v>
      </c>
      <c r="F41" s="17" t="s">
        <v>2693</v>
      </c>
      <c r="G41" s="17" t="s">
        <v>989</v>
      </c>
      <c r="H41" s="22"/>
      <c r="I41" s="17" t="s">
        <v>44</v>
      </c>
      <c r="J41" s="17" t="s">
        <v>1034</v>
      </c>
      <c r="K41" s="22"/>
      <c r="L41" s="22"/>
      <c r="M41" s="22"/>
    </row>
    <row r="42">
      <c r="A42" s="168" t="s">
        <v>1030</v>
      </c>
      <c r="B42" s="167" t="str">
        <f>IF(ISBLANK(A42),"",VLOOKUP(A42,DOI_URL!$B$1:$C$74,2,FALSE()))</f>
        <v>https://drive.google.com/file/d/14Qwt8ng0e_U2xaA90g1OkndxdiT9TFqh/view?usp=sharing</v>
      </c>
      <c r="C42" s="17" t="s">
        <v>3311</v>
      </c>
      <c r="D42" s="22"/>
      <c r="E42" s="17" t="s">
        <v>1035</v>
      </c>
      <c r="F42" s="17" t="s">
        <v>1036</v>
      </c>
      <c r="G42" s="66" t="s">
        <v>1037</v>
      </c>
      <c r="H42" s="22"/>
      <c r="I42" s="17" t="s">
        <v>20</v>
      </c>
      <c r="J42" s="17" t="s">
        <v>1034</v>
      </c>
      <c r="K42" s="22"/>
      <c r="L42" s="22"/>
      <c r="M42" s="22"/>
    </row>
    <row r="43">
      <c r="A43" s="168" t="s">
        <v>1030</v>
      </c>
      <c r="B43" s="167" t="str">
        <f>IF(ISBLANK(A43),"",VLOOKUP(A43,DOI_URL!$B$1:$C$74,2,FALSE()))</f>
        <v>https://drive.google.com/file/d/14Qwt8ng0e_U2xaA90g1OkndxdiT9TFqh/view?usp=sharing</v>
      </c>
      <c r="C43" s="17" t="s">
        <v>3311</v>
      </c>
      <c r="D43" s="22"/>
      <c r="E43" s="17" t="s">
        <v>2694</v>
      </c>
      <c r="F43" s="17" t="s">
        <v>1039</v>
      </c>
      <c r="G43" s="17" t="s">
        <v>1040</v>
      </c>
      <c r="H43" s="22"/>
      <c r="I43" s="17" t="s">
        <v>54</v>
      </c>
      <c r="J43" s="17" t="s">
        <v>1034</v>
      </c>
      <c r="K43" s="22"/>
      <c r="L43" s="22"/>
      <c r="M43" s="22"/>
    </row>
    <row r="44">
      <c r="A44" s="168" t="s">
        <v>1030</v>
      </c>
      <c r="B44" s="167" t="str">
        <f>IF(ISBLANK(A44),"",VLOOKUP(A44,DOI_URL!$B$1:$C$74,2,FALSE()))</f>
        <v>https://drive.google.com/file/d/14Qwt8ng0e_U2xaA90g1OkndxdiT9TFqh/view?usp=sharing</v>
      </c>
      <c r="C44" s="17" t="s">
        <v>3311</v>
      </c>
      <c r="D44" s="22"/>
      <c r="E44" s="17" t="s">
        <v>2694</v>
      </c>
      <c r="F44" s="17" t="s">
        <v>1040</v>
      </c>
      <c r="G44" s="17" t="s">
        <v>2695</v>
      </c>
      <c r="H44" s="22" t="s">
        <v>1045</v>
      </c>
      <c r="I44" s="17" t="s">
        <v>54</v>
      </c>
      <c r="J44" s="17" t="s">
        <v>1034</v>
      </c>
      <c r="K44" s="22"/>
      <c r="L44" s="22"/>
      <c r="M44" s="22"/>
    </row>
    <row r="45">
      <c r="A45" s="168" t="s">
        <v>1030</v>
      </c>
      <c r="B45" s="167" t="str">
        <f>IF(ISBLANK(A45),"",VLOOKUP(A45,DOI_URL!$B$1:$C$74,2,FALSE()))</f>
        <v>https://drive.google.com/file/d/14Qwt8ng0e_U2xaA90g1OkndxdiT9TFqh/view?usp=sharing</v>
      </c>
      <c r="C45" s="17" t="s">
        <v>3311</v>
      </c>
      <c r="D45" s="22"/>
      <c r="E45" s="17" t="s">
        <v>1051</v>
      </c>
      <c r="F45" s="17" t="s">
        <v>2696</v>
      </c>
      <c r="G45" s="17" t="s">
        <v>2647</v>
      </c>
      <c r="H45" s="17"/>
      <c r="I45" s="17" t="s">
        <v>54</v>
      </c>
      <c r="J45" s="17" t="s">
        <v>1034</v>
      </c>
      <c r="K45" s="22"/>
      <c r="L45" s="22"/>
      <c r="M45" s="22"/>
    </row>
    <row r="46">
      <c r="A46" s="168" t="s">
        <v>1030</v>
      </c>
      <c r="B46" s="167" t="str">
        <f>IF(ISBLANK(A46),"",VLOOKUP(A46,DOI_URL!$B$1:$C$74,2,FALSE()))</f>
        <v>https://drive.google.com/file/d/14Qwt8ng0e_U2xaA90g1OkndxdiT9TFqh/view?usp=sharing</v>
      </c>
      <c r="C46" s="17" t="s">
        <v>3311</v>
      </c>
      <c r="D46" s="22"/>
      <c r="E46" s="17" t="s">
        <v>1051</v>
      </c>
      <c r="F46" s="17" t="s">
        <v>2696</v>
      </c>
      <c r="G46" s="17" t="s">
        <v>2697</v>
      </c>
      <c r="H46" s="22"/>
      <c r="I46" s="17" t="s">
        <v>54</v>
      </c>
      <c r="J46" s="17" t="s">
        <v>1034</v>
      </c>
      <c r="K46" s="22"/>
      <c r="L46" s="22"/>
      <c r="M46" s="22"/>
    </row>
    <row r="47">
      <c r="A47" s="168" t="s">
        <v>1057</v>
      </c>
      <c r="B47" s="167" t="str">
        <f>IF(ISBLANK(A47),"",VLOOKUP(A47,DOI_URL!$B$1:$C$74,2,FALSE()))</f>
        <v>https://drive.google.com/file/d/1_tt4zUBmEXgirsvINFnMZb96WQUGwqjz/view?usp=sharing</v>
      </c>
      <c r="C47" s="17" t="s">
        <v>3311</v>
      </c>
      <c r="D47" s="22"/>
      <c r="E47" s="17" t="s">
        <v>2708</v>
      </c>
      <c r="F47" s="17" t="s">
        <v>170</v>
      </c>
      <c r="G47" s="17" t="s">
        <v>2709</v>
      </c>
      <c r="H47" s="22"/>
      <c r="I47" s="17" t="s">
        <v>54</v>
      </c>
      <c r="J47" s="17" t="s">
        <v>488</v>
      </c>
      <c r="K47" s="22"/>
      <c r="L47" s="22"/>
      <c r="M47" s="22"/>
    </row>
    <row r="48">
      <c r="A48" s="168" t="s">
        <v>1057</v>
      </c>
      <c r="B48" s="167" t="str">
        <f>IF(ISBLANK(A48),"",VLOOKUP(A48,DOI_URL!$B$1:$C$74,2,FALSE()))</f>
        <v>https://drive.google.com/file/d/1_tt4zUBmEXgirsvINFnMZb96WQUGwqjz/view?usp=sharing</v>
      </c>
      <c r="C48" s="17" t="s">
        <v>3311</v>
      </c>
      <c r="D48" s="22"/>
      <c r="E48" s="17" t="s">
        <v>2711</v>
      </c>
      <c r="F48" s="17" t="s">
        <v>910</v>
      </c>
      <c r="G48" s="17" t="s">
        <v>2712</v>
      </c>
      <c r="H48" s="22" t="s">
        <v>2713</v>
      </c>
      <c r="I48" s="17" t="s">
        <v>54</v>
      </c>
      <c r="J48" s="17" t="s">
        <v>488</v>
      </c>
      <c r="K48" s="22"/>
      <c r="L48" s="22"/>
      <c r="M48" s="22"/>
    </row>
    <row r="49">
      <c r="A49" s="168" t="s">
        <v>1057</v>
      </c>
      <c r="B49" s="167" t="str">
        <f>IF(ISBLANK(A49),"",VLOOKUP(A49,DOI_URL!$B$1:$C$74,2,FALSE()))</f>
        <v>https://drive.google.com/file/d/1_tt4zUBmEXgirsvINFnMZb96WQUGwqjz/view?usp=sharing</v>
      </c>
      <c r="C49" s="17" t="s">
        <v>3311</v>
      </c>
      <c r="D49" s="22"/>
      <c r="E49" s="17" t="s">
        <v>2711</v>
      </c>
      <c r="F49" s="17" t="s">
        <v>910</v>
      </c>
      <c r="G49" s="17" t="s">
        <v>2714</v>
      </c>
      <c r="H49" s="17" t="s">
        <v>2715</v>
      </c>
      <c r="I49" s="17" t="s">
        <v>54</v>
      </c>
      <c r="J49" s="17" t="s">
        <v>488</v>
      </c>
      <c r="K49" s="22"/>
      <c r="L49" s="22"/>
      <c r="M49" s="22"/>
    </row>
    <row r="50">
      <c r="A50" s="168" t="s">
        <v>1057</v>
      </c>
      <c r="B50" s="167" t="str">
        <f>IF(ISBLANK(A50),"",VLOOKUP(A50,DOI_URL!$B$1:$C$74,2,FALSE()))</f>
        <v>https://drive.google.com/file/d/1_tt4zUBmEXgirsvINFnMZb96WQUGwqjz/view?usp=sharing</v>
      </c>
      <c r="C50" s="17" t="s">
        <v>3311</v>
      </c>
      <c r="D50" s="22"/>
      <c r="E50" s="17" t="s">
        <v>2711</v>
      </c>
      <c r="F50" s="17" t="s">
        <v>910</v>
      </c>
      <c r="G50" s="17" t="s">
        <v>2716</v>
      </c>
      <c r="H50" s="17" t="s">
        <v>2717</v>
      </c>
      <c r="I50" s="17" t="s">
        <v>54</v>
      </c>
      <c r="J50" s="17" t="s">
        <v>488</v>
      </c>
      <c r="K50" s="22"/>
      <c r="L50" s="22"/>
      <c r="M50" s="22"/>
    </row>
    <row r="51">
      <c r="A51" s="168" t="s">
        <v>1057</v>
      </c>
      <c r="B51" s="167" t="str">
        <f>IF(ISBLANK(A51),"",VLOOKUP(A51,DOI_URL!$B$1:$C$74,2,FALSE()))</f>
        <v>https://drive.google.com/file/d/1_tt4zUBmEXgirsvINFnMZb96WQUGwqjz/view?usp=sharing</v>
      </c>
      <c r="C51" s="17" t="s">
        <v>3311</v>
      </c>
      <c r="D51" s="22"/>
      <c r="E51" s="17" t="s">
        <v>2719</v>
      </c>
      <c r="F51" s="17" t="s">
        <v>2720</v>
      </c>
      <c r="G51" s="17" t="s">
        <v>2721</v>
      </c>
      <c r="H51" s="17"/>
      <c r="I51" s="17" t="s">
        <v>20</v>
      </c>
      <c r="J51" s="17" t="s">
        <v>488</v>
      </c>
      <c r="K51" s="22"/>
      <c r="L51" s="22"/>
      <c r="M51" s="22"/>
    </row>
    <row r="52">
      <c r="A52" s="168" t="s">
        <v>1057</v>
      </c>
      <c r="B52" s="167" t="str">
        <f>IF(ISBLANK(A52),"",VLOOKUP(A52,DOI_URL!$B$1:$C$74,2,FALSE()))</f>
        <v>https://drive.google.com/file/d/1_tt4zUBmEXgirsvINFnMZb96WQUGwqjz/view?usp=sharing</v>
      </c>
      <c r="C52" s="17" t="s">
        <v>3311</v>
      </c>
      <c r="D52" s="22"/>
      <c r="E52" s="17" t="s">
        <v>2719</v>
      </c>
      <c r="F52" s="17" t="s">
        <v>1098</v>
      </c>
      <c r="G52" s="17" t="s">
        <v>2647</v>
      </c>
      <c r="H52" s="22"/>
      <c r="I52" s="17" t="s">
        <v>54</v>
      </c>
      <c r="J52" s="17" t="s">
        <v>488</v>
      </c>
      <c r="K52" s="22"/>
      <c r="L52" s="22"/>
      <c r="M52" s="22"/>
    </row>
    <row r="53">
      <c r="A53" s="168" t="s">
        <v>1057</v>
      </c>
      <c r="B53" s="167" t="str">
        <f>IF(ISBLANK(A53),"",VLOOKUP(A53,DOI_URL!$B$1:$C$74,2,FALSE()))</f>
        <v>https://drive.google.com/file/d/1_tt4zUBmEXgirsvINFnMZb96WQUGwqjz/view?usp=sharing</v>
      </c>
      <c r="C53" s="17" t="s">
        <v>3311</v>
      </c>
      <c r="D53" s="22"/>
      <c r="E53" s="17" t="s">
        <v>2722</v>
      </c>
      <c r="F53" s="17" t="s">
        <v>1098</v>
      </c>
      <c r="G53" s="17" t="s">
        <v>1099</v>
      </c>
      <c r="H53" s="22" t="s">
        <v>2723</v>
      </c>
      <c r="I53" s="17" t="s">
        <v>20</v>
      </c>
      <c r="J53" s="17" t="s">
        <v>488</v>
      </c>
      <c r="K53" s="22"/>
      <c r="L53" s="22"/>
      <c r="M53" s="22"/>
    </row>
    <row r="54">
      <c r="A54" s="168" t="s">
        <v>1057</v>
      </c>
      <c r="B54" s="167" t="str">
        <f>IF(ISBLANK(A54),"",VLOOKUP(A54,DOI_URL!$B$1:$C$74,2,FALSE()))</f>
        <v>https://drive.google.com/file/d/1_tt4zUBmEXgirsvINFnMZb96WQUGwqjz/view?usp=sharing</v>
      </c>
      <c r="C54" s="17" t="s">
        <v>3311</v>
      </c>
      <c r="D54" s="22"/>
      <c r="E54" s="17" t="s">
        <v>2722</v>
      </c>
      <c r="F54" s="17" t="s">
        <v>910</v>
      </c>
      <c r="G54" s="17" t="s">
        <v>2725</v>
      </c>
      <c r="H54" s="17"/>
      <c r="I54" s="17" t="s">
        <v>54</v>
      </c>
      <c r="J54" s="17" t="s">
        <v>488</v>
      </c>
      <c r="K54" s="22"/>
      <c r="L54" s="22"/>
      <c r="M54" s="22"/>
    </row>
    <row r="55">
      <c r="A55" s="168" t="s">
        <v>1057</v>
      </c>
      <c r="B55" s="167" t="str">
        <f>IF(ISBLANK(A55),"",VLOOKUP(A55,DOI_URL!$B$1:$C$74,2,FALSE()))</f>
        <v>https://drive.google.com/file/d/1_tt4zUBmEXgirsvINFnMZb96WQUGwqjz/view?usp=sharing</v>
      </c>
      <c r="C55" s="17" t="s">
        <v>3311</v>
      </c>
      <c r="D55" s="22"/>
      <c r="E55" s="17" t="s">
        <v>2722</v>
      </c>
      <c r="F55" s="17" t="s">
        <v>910</v>
      </c>
      <c r="G55" s="17" t="s">
        <v>477</v>
      </c>
      <c r="H55" s="22"/>
      <c r="I55" s="17" t="s">
        <v>39</v>
      </c>
      <c r="J55" s="17" t="s">
        <v>488</v>
      </c>
      <c r="K55" s="22"/>
      <c r="L55" s="22"/>
      <c r="M55" s="22"/>
    </row>
    <row r="56">
      <c r="A56" s="168" t="s">
        <v>378</v>
      </c>
      <c r="B56" s="167" t="str">
        <f>IF(ISBLANK(A56),"",VLOOKUP(A56,DOI_URL!$B$1:$C$74,2,FALSE()))</f>
        <v>https://drive.google.com/file/d/1QQ1WhoI3KqCnZ29wvYMt9ja1PtEH374z/view?usp=sharing</v>
      </c>
      <c r="C56" s="17" t="s">
        <v>3311</v>
      </c>
      <c r="D56" s="22"/>
      <c r="E56" s="17" t="s">
        <v>2405</v>
      </c>
      <c r="F56" s="17" t="s">
        <v>2406</v>
      </c>
      <c r="G56" s="17" t="s">
        <v>2407</v>
      </c>
      <c r="H56" s="22" t="s">
        <v>2408</v>
      </c>
      <c r="I56" s="17" t="s">
        <v>14</v>
      </c>
      <c r="J56" s="17" t="s">
        <v>382</v>
      </c>
      <c r="K56" s="22"/>
      <c r="L56" s="22"/>
      <c r="M56" s="22"/>
    </row>
    <row r="57">
      <c r="A57" s="168" t="s">
        <v>378</v>
      </c>
      <c r="B57" s="167" t="str">
        <f>IF(ISBLANK(A57),"",VLOOKUP(A57,DOI_URL!$B$1:$C$74,2,FALSE()))</f>
        <v>https://drive.google.com/file/d/1QQ1WhoI3KqCnZ29wvYMt9ja1PtEH374z/view?usp=sharing</v>
      </c>
      <c r="C57" s="17" t="s">
        <v>3311</v>
      </c>
      <c r="D57" s="22"/>
      <c r="E57" s="17" t="s">
        <v>2409</v>
      </c>
      <c r="F57" s="17" t="s">
        <v>2410</v>
      </c>
      <c r="G57" s="17" t="s">
        <v>2411</v>
      </c>
      <c r="H57" s="17"/>
      <c r="I57" s="17" t="s">
        <v>54</v>
      </c>
      <c r="J57" s="17" t="s">
        <v>382</v>
      </c>
      <c r="K57" s="22"/>
      <c r="L57" s="22"/>
      <c r="M57" s="22"/>
    </row>
    <row r="58">
      <c r="A58" s="168" t="s">
        <v>378</v>
      </c>
      <c r="B58" s="167" t="str">
        <f>IF(ISBLANK(A58),"",VLOOKUP(A58,DOI_URL!$B$1:$C$74,2,FALSE()))</f>
        <v>https://drive.google.com/file/d/1QQ1WhoI3KqCnZ29wvYMt9ja1PtEH374z/view?usp=sharing</v>
      </c>
      <c r="C58" s="17" t="s">
        <v>3311</v>
      </c>
      <c r="D58" s="22"/>
      <c r="E58" s="17" t="s">
        <v>2409</v>
      </c>
      <c r="F58" s="17" t="s">
        <v>2410</v>
      </c>
      <c r="G58" s="17" t="s">
        <v>2412</v>
      </c>
      <c r="H58" s="22" t="s">
        <v>2413</v>
      </c>
      <c r="I58" s="17" t="s">
        <v>54</v>
      </c>
      <c r="J58" s="17" t="s">
        <v>382</v>
      </c>
      <c r="K58" s="22"/>
      <c r="L58" s="22"/>
      <c r="M58" s="22"/>
    </row>
    <row r="59">
      <c r="A59" s="168" t="s">
        <v>378</v>
      </c>
      <c r="B59" s="167" t="str">
        <f>IF(ISBLANK(A59),"",VLOOKUP(A59,DOI_URL!$B$1:$C$74,2,FALSE()))</f>
        <v>https://drive.google.com/file/d/1QQ1WhoI3KqCnZ29wvYMt9ja1PtEH374z/view?usp=sharing</v>
      </c>
      <c r="C59" s="17" t="s">
        <v>3311</v>
      </c>
      <c r="D59" s="22"/>
      <c r="E59" s="17" t="s">
        <v>2409</v>
      </c>
      <c r="F59" s="17" t="s">
        <v>399</v>
      </c>
      <c r="G59" s="17" t="s">
        <v>400</v>
      </c>
      <c r="H59" s="17" t="s">
        <v>2414</v>
      </c>
      <c r="I59" s="17" t="s">
        <v>54</v>
      </c>
      <c r="J59" s="17" t="s">
        <v>382</v>
      </c>
      <c r="K59" s="22"/>
      <c r="L59" s="22"/>
      <c r="M59" s="22"/>
    </row>
    <row r="60">
      <c r="A60" s="168" t="s">
        <v>378</v>
      </c>
      <c r="B60" s="167" t="str">
        <f>IF(ISBLANK(A60),"",VLOOKUP(A60,DOI_URL!$B$1:$C$74,2,FALSE()))</f>
        <v>https://drive.google.com/file/d/1QQ1WhoI3KqCnZ29wvYMt9ja1PtEH374z/view?usp=sharing</v>
      </c>
      <c r="C60" s="17" t="s">
        <v>3311</v>
      </c>
      <c r="D60" s="22"/>
      <c r="E60" s="17" t="s">
        <v>2415</v>
      </c>
      <c r="F60" s="17" t="s">
        <v>2416</v>
      </c>
      <c r="G60" s="17" t="s">
        <v>586</v>
      </c>
      <c r="H60" s="17"/>
      <c r="I60" s="17" t="s">
        <v>44</v>
      </c>
      <c r="J60" s="17" t="s">
        <v>382</v>
      </c>
      <c r="K60" s="22"/>
      <c r="L60" s="22"/>
      <c r="M60" s="22"/>
    </row>
    <row r="61">
      <c r="A61" s="168" t="s">
        <v>378</v>
      </c>
      <c r="B61" s="167" t="str">
        <f>IF(ISBLANK(A61),"",VLOOKUP(A61,DOI_URL!$B$1:$C$74,2,FALSE()))</f>
        <v>https://drive.google.com/file/d/1QQ1WhoI3KqCnZ29wvYMt9ja1PtEH374z/view?usp=sharing</v>
      </c>
      <c r="C61" s="17" t="s">
        <v>3311</v>
      </c>
      <c r="D61" s="22"/>
      <c r="E61" s="17" t="s">
        <v>2415</v>
      </c>
      <c r="F61" s="17" t="s">
        <v>170</v>
      </c>
      <c r="G61" s="17" t="s">
        <v>2417</v>
      </c>
      <c r="H61" s="22"/>
      <c r="I61" s="17" t="s">
        <v>54</v>
      </c>
      <c r="J61" s="17" t="s">
        <v>382</v>
      </c>
      <c r="K61" s="22"/>
      <c r="L61" s="22"/>
      <c r="M61" s="22"/>
    </row>
    <row r="62">
      <c r="A62" s="168" t="s">
        <v>378</v>
      </c>
      <c r="B62" s="167" t="str">
        <f>IF(ISBLANK(A62),"",VLOOKUP(A62,DOI_URL!$B$1:$C$74,2,FALSE()))</f>
        <v>https://drive.google.com/file/d/1QQ1WhoI3KqCnZ29wvYMt9ja1PtEH374z/view?usp=sharing</v>
      </c>
      <c r="C62" s="17" t="s">
        <v>3311</v>
      </c>
      <c r="D62" s="22"/>
      <c r="E62" s="17" t="s">
        <v>2418</v>
      </c>
      <c r="F62" s="17" t="s">
        <v>422</v>
      </c>
      <c r="G62" s="17" t="s">
        <v>2341</v>
      </c>
      <c r="H62" s="22"/>
      <c r="I62" s="17" t="s">
        <v>39</v>
      </c>
      <c r="J62" s="17" t="s">
        <v>382</v>
      </c>
      <c r="K62" s="22"/>
      <c r="L62" s="22"/>
      <c r="M62" s="22"/>
    </row>
    <row r="63">
      <c r="A63" s="168" t="s">
        <v>378</v>
      </c>
      <c r="B63" s="167" t="str">
        <f>IF(ISBLANK(A63),"",VLOOKUP(A63,DOI_URL!$B$1:$C$74,2,FALSE()))</f>
        <v>https://drive.google.com/file/d/1QQ1WhoI3KqCnZ29wvYMt9ja1PtEH374z/view?usp=sharing</v>
      </c>
      <c r="C63" s="17" t="s">
        <v>3311</v>
      </c>
      <c r="D63" s="22"/>
      <c r="E63" s="17" t="s">
        <v>2418</v>
      </c>
      <c r="F63" s="17" t="s">
        <v>422</v>
      </c>
      <c r="G63" s="17" t="s">
        <v>2419</v>
      </c>
      <c r="H63" s="22"/>
      <c r="I63" s="17" t="s">
        <v>39</v>
      </c>
      <c r="J63" s="17" t="s">
        <v>382</v>
      </c>
      <c r="K63" s="22"/>
      <c r="L63" s="22"/>
      <c r="M63" s="22"/>
    </row>
    <row r="64">
      <c r="A64" s="168" t="s">
        <v>378</v>
      </c>
      <c r="B64" s="167" t="str">
        <f>IF(ISBLANK(A64),"",VLOOKUP(A64,DOI_URL!$B$1:$C$74,2,FALSE()))</f>
        <v>https://drive.google.com/file/d/1QQ1WhoI3KqCnZ29wvYMt9ja1PtEH374z/view?usp=sharing</v>
      </c>
      <c r="C64" s="17" t="s">
        <v>3311</v>
      </c>
      <c r="D64" s="22"/>
      <c r="E64" s="17" t="s">
        <v>2418</v>
      </c>
      <c r="F64" s="17" t="s">
        <v>422</v>
      </c>
      <c r="G64" s="17" t="s">
        <v>2421</v>
      </c>
      <c r="H64" s="22"/>
      <c r="I64" s="17" t="s">
        <v>39</v>
      </c>
      <c r="J64" s="17" t="s">
        <v>382</v>
      </c>
      <c r="K64" s="22"/>
      <c r="L64" s="22"/>
      <c r="M64" s="22"/>
    </row>
    <row r="65">
      <c r="A65" s="168" t="s">
        <v>378</v>
      </c>
      <c r="B65" s="167" t="str">
        <f>IF(ISBLANK(A65),"",VLOOKUP(A65,DOI_URL!$B$1:$C$74,2,FALSE()))</f>
        <v>https://drive.google.com/file/d/1QQ1WhoI3KqCnZ29wvYMt9ja1PtEH374z/view?usp=sharing</v>
      </c>
      <c r="C65" s="17" t="s">
        <v>3311</v>
      </c>
      <c r="D65" s="22"/>
      <c r="E65" s="17" t="s">
        <v>2422</v>
      </c>
      <c r="F65" s="17" t="s">
        <v>422</v>
      </c>
      <c r="G65" s="17" t="s">
        <v>2423</v>
      </c>
      <c r="H65" s="22"/>
      <c r="I65" s="17" t="s">
        <v>39</v>
      </c>
      <c r="J65" s="17" t="s">
        <v>382</v>
      </c>
      <c r="K65" s="22"/>
      <c r="L65" s="22"/>
      <c r="M65" s="22"/>
    </row>
    <row r="66">
      <c r="A66" s="168" t="s">
        <v>378</v>
      </c>
      <c r="B66" s="167" t="str">
        <f>IF(ISBLANK(A66),"",VLOOKUP(A66,DOI_URL!$B$1:$C$74,2,FALSE()))</f>
        <v>https://drive.google.com/file/d/1QQ1WhoI3KqCnZ29wvYMt9ja1PtEH374z/view?usp=sharing</v>
      </c>
      <c r="C66" s="17" t="s">
        <v>3311</v>
      </c>
      <c r="D66" s="22"/>
      <c r="E66" s="17" t="s">
        <v>2422</v>
      </c>
      <c r="F66" s="17" t="s">
        <v>422</v>
      </c>
      <c r="G66" s="17" t="s">
        <v>2424</v>
      </c>
      <c r="H66" s="22"/>
      <c r="I66" s="17" t="s">
        <v>2425</v>
      </c>
      <c r="J66" s="17" t="s">
        <v>382</v>
      </c>
      <c r="K66" s="22"/>
      <c r="L66" s="22"/>
      <c r="M66" s="22"/>
    </row>
    <row r="67">
      <c r="A67" s="17" t="s">
        <v>1113</v>
      </c>
      <c r="B67" s="167" t="str">
        <f>IF(ISBLANK(A67),"",VLOOKUP(A67,DOI_URL!$B$1:$C$74,2,FALSE()))</f>
        <v>https://drive.google.com/file/d/1g58hXK85C9yPm1N_LSQATizTtufwy3cS/view?usp=sharing</v>
      </c>
      <c r="C67" s="17" t="s">
        <v>3311</v>
      </c>
      <c r="D67" s="22"/>
      <c r="E67" s="17" t="s">
        <v>3333</v>
      </c>
      <c r="F67" s="17" t="s">
        <v>170</v>
      </c>
      <c r="G67" s="17" t="s">
        <v>2740</v>
      </c>
      <c r="H67" s="22"/>
      <c r="I67" s="17" t="s">
        <v>54</v>
      </c>
      <c r="J67" s="17" t="s">
        <v>1118</v>
      </c>
      <c r="K67" s="22"/>
      <c r="L67" s="22"/>
      <c r="M67" s="22"/>
    </row>
    <row r="68">
      <c r="A68" s="17" t="s">
        <v>1113</v>
      </c>
      <c r="B68" s="167" t="str">
        <f>IF(ISBLANK(A68),"",VLOOKUP(A68,DOI_URL!$B$1:$C$74,2,FALSE()))</f>
        <v>https://drive.google.com/file/d/1g58hXK85C9yPm1N_LSQATizTtufwy3cS/view?usp=sharing</v>
      </c>
      <c r="C68" s="17" t="s">
        <v>3311</v>
      </c>
      <c r="D68" s="22"/>
      <c r="E68" s="17" t="s">
        <v>3333</v>
      </c>
      <c r="F68" s="17" t="s">
        <v>170</v>
      </c>
      <c r="G68" s="17" t="s">
        <v>2741</v>
      </c>
      <c r="H68" s="22" t="s">
        <v>1117</v>
      </c>
      <c r="I68" s="17" t="s">
        <v>54</v>
      </c>
      <c r="J68" s="17" t="s">
        <v>1118</v>
      </c>
      <c r="K68" s="22"/>
      <c r="L68" s="22"/>
      <c r="M68" s="22"/>
    </row>
    <row r="69">
      <c r="A69" s="17" t="s">
        <v>1113</v>
      </c>
      <c r="B69" s="167" t="str">
        <f>IF(ISBLANK(A69),"",VLOOKUP(A69,DOI_URL!$B$1:$C$74,2,FALSE()))</f>
        <v>https://drive.google.com/file/d/1g58hXK85C9yPm1N_LSQATizTtufwy3cS/view?usp=sharing</v>
      </c>
      <c r="C69" s="17" t="s">
        <v>3311</v>
      </c>
      <c r="D69" s="22"/>
      <c r="E69" s="17" t="s">
        <v>3334</v>
      </c>
      <c r="F69" s="17" t="s">
        <v>422</v>
      </c>
      <c r="G69" s="17" t="s">
        <v>2743</v>
      </c>
      <c r="H69" s="17"/>
      <c r="I69" s="17" t="s">
        <v>39</v>
      </c>
      <c r="J69" s="17" t="s">
        <v>1118</v>
      </c>
      <c r="K69" s="22"/>
      <c r="L69" s="22"/>
      <c r="M69" s="22"/>
    </row>
    <row r="70">
      <c r="A70" s="17" t="s">
        <v>1113</v>
      </c>
      <c r="B70" s="167" t="str">
        <f>IF(ISBLANK(A70),"",VLOOKUP(A70,DOI_URL!$B$1:$C$74,2,FALSE()))</f>
        <v>https://drive.google.com/file/d/1g58hXK85C9yPm1N_LSQATizTtufwy3cS/view?usp=sharing</v>
      </c>
      <c r="C70" s="17" t="s">
        <v>3311</v>
      </c>
      <c r="D70" s="22"/>
      <c r="E70" s="17" t="s">
        <v>3334</v>
      </c>
      <c r="F70" s="17" t="s">
        <v>422</v>
      </c>
      <c r="G70" s="17" t="s">
        <v>2400</v>
      </c>
      <c r="H70" s="22" t="s">
        <v>2744</v>
      </c>
      <c r="I70" s="17" t="s">
        <v>54</v>
      </c>
      <c r="J70" s="17" t="s">
        <v>1118</v>
      </c>
      <c r="K70" s="22"/>
      <c r="L70" s="22"/>
      <c r="M70" s="22"/>
    </row>
    <row r="71">
      <c r="A71" s="17" t="s">
        <v>1113</v>
      </c>
      <c r="B71" s="167" t="str">
        <f>IF(ISBLANK(A71),"",VLOOKUP(A71,DOI_URL!$B$1:$C$74,2,FALSE()))</f>
        <v>https://drive.google.com/file/d/1g58hXK85C9yPm1N_LSQATizTtufwy3cS/view?usp=sharing</v>
      </c>
      <c r="C71" s="17" t="s">
        <v>3311</v>
      </c>
      <c r="D71" s="22"/>
      <c r="E71" s="17" t="s">
        <v>3335</v>
      </c>
      <c r="F71" s="17" t="s">
        <v>1128</v>
      </c>
      <c r="G71" s="17" t="s">
        <v>2746</v>
      </c>
      <c r="H71" s="17"/>
      <c r="I71" s="17" t="s">
        <v>44</v>
      </c>
      <c r="J71" s="17" t="s">
        <v>1118</v>
      </c>
      <c r="K71" s="22"/>
      <c r="L71" s="22"/>
      <c r="M71" s="22"/>
    </row>
    <row r="72">
      <c r="A72" s="17" t="s">
        <v>1113</v>
      </c>
      <c r="B72" s="167" t="str">
        <f>IF(ISBLANK(A72),"",VLOOKUP(A72,DOI_URL!$B$1:$C$74,2,FALSE()))</f>
        <v>https://drive.google.com/file/d/1g58hXK85C9yPm1N_LSQATizTtufwy3cS/view?usp=sharing</v>
      </c>
      <c r="C72" s="17" t="s">
        <v>3311</v>
      </c>
      <c r="D72" s="22"/>
      <c r="E72" s="17" t="s">
        <v>3335</v>
      </c>
      <c r="F72" s="17" t="s">
        <v>2747</v>
      </c>
      <c r="G72" s="17" t="s">
        <v>2748</v>
      </c>
      <c r="H72" s="22"/>
      <c r="I72" s="17" t="s">
        <v>20</v>
      </c>
      <c r="J72" s="17" t="s">
        <v>1118</v>
      </c>
      <c r="K72" s="22"/>
      <c r="L72" s="22"/>
      <c r="M72" s="22"/>
    </row>
    <row r="73">
      <c r="A73" s="17" t="s">
        <v>1113</v>
      </c>
      <c r="B73" s="167" t="str">
        <f>IF(ISBLANK(A73),"",VLOOKUP(A73,DOI_URL!$B$1:$C$74,2,FALSE()))</f>
        <v>https://drive.google.com/file/d/1g58hXK85C9yPm1N_LSQATizTtufwy3cS/view?usp=sharing</v>
      </c>
      <c r="C73" s="17" t="s">
        <v>3311</v>
      </c>
      <c r="D73" s="22"/>
      <c r="E73" s="17" t="s">
        <v>3335</v>
      </c>
      <c r="F73" s="17" t="s">
        <v>2747</v>
      </c>
      <c r="G73" s="17" t="s">
        <v>2749</v>
      </c>
      <c r="H73" s="22"/>
      <c r="I73" s="17" t="s">
        <v>14</v>
      </c>
      <c r="J73" s="17" t="s">
        <v>1118</v>
      </c>
      <c r="K73" s="22"/>
      <c r="L73" s="22"/>
      <c r="M73" s="22"/>
    </row>
    <row r="74">
      <c r="A74" s="17" t="s">
        <v>1113</v>
      </c>
      <c r="B74" s="167" t="str">
        <f>IF(ISBLANK(A74),"",VLOOKUP(A74,DOI_URL!$B$1:$C$74,2,FALSE()))</f>
        <v>https://drive.google.com/file/d/1g58hXK85C9yPm1N_LSQATizTtufwy3cS/view?usp=sharing</v>
      </c>
      <c r="C74" s="17" t="s">
        <v>3311</v>
      </c>
      <c r="D74" s="22"/>
      <c r="E74" s="17" t="s">
        <v>3336</v>
      </c>
      <c r="F74" s="17" t="s">
        <v>170</v>
      </c>
      <c r="G74" s="17" t="s">
        <v>2647</v>
      </c>
      <c r="H74" s="22"/>
      <c r="I74" s="17" t="s">
        <v>54</v>
      </c>
      <c r="J74" s="17" t="s">
        <v>1118</v>
      </c>
      <c r="K74" s="22"/>
      <c r="L74" s="22"/>
      <c r="M74" s="22"/>
    </row>
    <row r="75">
      <c r="A75" s="17" t="s">
        <v>1153</v>
      </c>
      <c r="B75" s="167" t="str">
        <f>IF(ISBLANK(A75),"",VLOOKUP(A75,DOI_URL!$B$1:$C$74,2,FALSE()))</f>
        <v>https://drive.google.com/file/d/10PvC07Bl2W102JPrz3lDxShSHvHkjsAq/view?usp=sharing</v>
      </c>
      <c r="C75" s="17" t="s">
        <v>3309</v>
      </c>
      <c r="D75" s="22"/>
      <c r="E75" s="17"/>
      <c r="F75" s="17"/>
      <c r="G75" s="17"/>
      <c r="H75" s="22"/>
      <c r="I75" s="17"/>
      <c r="J75" s="17"/>
      <c r="K75" s="27" t="s">
        <v>3337</v>
      </c>
      <c r="L75" s="22"/>
      <c r="M75" s="22"/>
    </row>
    <row r="76">
      <c r="A76" s="168" t="s">
        <v>1154</v>
      </c>
      <c r="B76" s="167" t="str">
        <f>IF(ISBLANK(A76),"",VLOOKUP(A76,DOI_URL!$B$1:$C$74,2,FALSE()))</f>
        <v>https://drive.google.com/file/d/1DBiMfAGg2YJNNshbUDzRDMm1x6_FUeud/view?usp=sharing</v>
      </c>
      <c r="C76" s="17" t="s">
        <v>3311</v>
      </c>
      <c r="D76" s="22"/>
      <c r="E76" s="22" t="s">
        <v>3338</v>
      </c>
      <c r="F76" s="22" t="s">
        <v>1036</v>
      </c>
      <c r="G76" s="22" t="s">
        <v>2762</v>
      </c>
      <c r="H76" s="22" t="s">
        <v>2763</v>
      </c>
      <c r="I76" s="22" t="s">
        <v>44</v>
      </c>
      <c r="J76" s="22" t="s">
        <v>1160</v>
      </c>
      <c r="K76" s="17"/>
      <c r="L76" s="22"/>
      <c r="M76" s="22"/>
    </row>
    <row r="77">
      <c r="A77" s="168" t="s">
        <v>1154</v>
      </c>
      <c r="B77" s="167" t="str">
        <f>IF(ISBLANK(A77),"",VLOOKUP(A77,DOI_URL!$B$1:$C$74,2,FALSE()))</f>
        <v>https://drive.google.com/file/d/1DBiMfAGg2YJNNshbUDzRDMm1x6_FUeud/view?usp=sharing</v>
      </c>
      <c r="C77" s="17" t="s">
        <v>3311</v>
      </c>
      <c r="D77" s="22"/>
      <c r="E77" s="17" t="s">
        <v>3338</v>
      </c>
      <c r="F77" s="17" t="s">
        <v>2764</v>
      </c>
      <c r="G77" s="17" t="s">
        <v>2765</v>
      </c>
      <c r="H77" s="17"/>
      <c r="I77" s="17" t="s">
        <v>14</v>
      </c>
      <c r="J77" s="17" t="s">
        <v>1160</v>
      </c>
      <c r="K77" s="22"/>
      <c r="L77" s="22"/>
      <c r="M77" s="22"/>
    </row>
    <row r="78">
      <c r="A78" s="168" t="s">
        <v>1154</v>
      </c>
      <c r="B78" s="167" t="str">
        <f>IF(ISBLANK(A78),"",VLOOKUP(A78,DOI_URL!$B$1:$C$74,2,FALSE()))</f>
        <v>https://drive.google.com/file/d/1DBiMfAGg2YJNNshbUDzRDMm1x6_FUeud/view?usp=sharing</v>
      </c>
      <c r="C78" s="17" t="s">
        <v>3311</v>
      </c>
      <c r="D78" s="22"/>
      <c r="E78" s="17" t="s">
        <v>3339</v>
      </c>
      <c r="F78" s="17" t="s">
        <v>170</v>
      </c>
      <c r="G78" s="17" t="s">
        <v>2767</v>
      </c>
      <c r="H78" s="22" t="s">
        <v>2768</v>
      </c>
      <c r="I78" s="17" t="s">
        <v>14</v>
      </c>
      <c r="J78" s="17" t="s">
        <v>1160</v>
      </c>
      <c r="K78" s="22"/>
      <c r="L78" s="22"/>
      <c r="M78" s="22"/>
    </row>
    <row r="79">
      <c r="A79" s="168" t="s">
        <v>1154</v>
      </c>
      <c r="B79" s="167" t="str">
        <f>IF(ISBLANK(A79),"",VLOOKUP(A79,DOI_URL!$B$1:$C$74,2,FALSE()))</f>
        <v>https://drive.google.com/file/d/1DBiMfAGg2YJNNshbUDzRDMm1x6_FUeud/view?usp=sharing</v>
      </c>
      <c r="C79" s="17" t="s">
        <v>3311</v>
      </c>
      <c r="D79" s="22"/>
      <c r="E79" s="17" t="s">
        <v>3339</v>
      </c>
      <c r="F79" s="17" t="s">
        <v>170</v>
      </c>
      <c r="G79" s="17" t="s">
        <v>2770</v>
      </c>
      <c r="H79" s="17"/>
      <c r="I79" s="17" t="s">
        <v>14</v>
      </c>
      <c r="J79" s="17" t="s">
        <v>1160</v>
      </c>
      <c r="K79" s="22"/>
      <c r="L79" s="22"/>
      <c r="M79" s="22"/>
    </row>
    <row r="80">
      <c r="A80" s="168" t="s">
        <v>1154</v>
      </c>
      <c r="B80" s="167" t="str">
        <f>IF(ISBLANK(A80),"",VLOOKUP(A80,DOI_URL!$B$1:$C$74,2,FALSE()))</f>
        <v>https://drive.google.com/file/d/1DBiMfAGg2YJNNshbUDzRDMm1x6_FUeud/view?usp=sharing</v>
      </c>
      <c r="C80" s="17" t="s">
        <v>3311</v>
      </c>
      <c r="D80" s="22"/>
      <c r="E80" s="17" t="s">
        <v>3340</v>
      </c>
      <c r="F80" s="17" t="s">
        <v>170</v>
      </c>
      <c r="G80" s="66" t="s">
        <v>2771</v>
      </c>
      <c r="H80" s="22"/>
      <c r="I80" s="17" t="s">
        <v>54</v>
      </c>
      <c r="J80" s="17" t="s">
        <v>1160</v>
      </c>
      <c r="K80" s="22"/>
      <c r="L80" s="22"/>
      <c r="M80" s="22"/>
    </row>
    <row r="81">
      <c r="A81" s="168" t="s">
        <v>1154</v>
      </c>
      <c r="B81" s="167" t="str">
        <f>IF(ISBLANK(A81),"",VLOOKUP(A81,DOI_URL!$B$1:$C$74,2,FALSE()))</f>
        <v>https://drive.google.com/file/d/1DBiMfAGg2YJNNshbUDzRDMm1x6_FUeud/view?usp=sharing</v>
      </c>
      <c r="C81" s="17" t="s">
        <v>3311</v>
      </c>
      <c r="D81" s="22"/>
      <c r="E81" s="17" t="s">
        <v>3341</v>
      </c>
      <c r="F81" s="17" t="s">
        <v>857</v>
      </c>
      <c r="G81" s="66" t="s">
        <v>2775</v>
      </c>
      <c r="H81" s="22"/>
      <c r="I81" s="17" t="s">
        <v>39</v>
      </c>
      <c r="J81" s="17" t="s">
        <v>1160</v>
      </c>
      <c r="K81" s="22"/>
      <c r="L81" s="22"/>
      <c r="M81" s="22"/>
    </row>
    <row r="82">
      <c r="A82" s="168" t="s">
        <v>256</v>
      </c>
      <c r="B82" s="167" t="str">
        <f>IF(ISBLANK(A82),"",VLOOKUP(A82,DOI_URL!$B$1:$C$74,2,FALSE()))</f>
        <v>https://drive.google.com/file/d/1NDirzzsj6hGtrKnSi0IChLHlr2ddQZYK/view?usp=sharing</v>
      </c>
      <c r="C82" s="17" t="s">
        <v>3311</v>
      </c>
      <c r="D82" s="22"/>
      <c r="E82" s="171" t="s">
        <v>2331</v>
      </c>
      <c r="F82" s="17" t="s">
        <v>258</v>
      </c>
      <c r="G82" s="17" t="s">
        <v>259</v>
      </c>
      <c r="H82" s="22"/>
      <c r="I82" s="17" t="s">
        <v>20</v>
      </c>
      <c r="J82" s="17" t="s">
        <v>2332</v>
      </c>
      <c r="K82" s="22"/>
      <c r="L82" s="22"/>
      <c r="M82" s="22"/>
    </row>
    <row r="83">
      <c r="A83" s="168" t="s">
        <v>256</v>
      </c>
      <c r="B83" s="167" t="str">
        <f>IF(ISBLANK(A83),"",VLOOKUP(A83,DOI_URL!$B$1:$C$74,2,FALSE()))</f>
        <v>https://drive.google.com/file/d/1NDirzzsj6hGtrKnSi0IChLHlr2ddQZYK/view?usp=sharing</v>
      </c>
      <c r="C83" s="17" t="s">
        <v>3311</v>
      </c>
      <c r="D83" s="22"/>
      <c r="E83" s="171" t="s">
        <v>2331</v>
      </c>
      <c r="F83" s="17" t="s">
        <v>2334</v>
      </c>
      <c r="G83" s="17" t="s">
        <v>2335</v>
      </c>
      <c r="H83" s="22" t="s">
        <v>2336</v>
      </c>
      <c r="I83" s="17" t="s">
        <v>14</v>
      </c>
      <c r="J83" s="17" t="s">
        <v>2332</v>
      </c>
      <c r="K83" s="22"/>
      <c r="L83" s="22"/>
      <c r="M83" s="22"/>
    </row>
    <row r="84">
      <c r="A84" s="168" t="s">
        <v>256</v>
      </c>
      <c r="B84" s="167" t="str">
        <f>IF(ISBLANK(A84),"",VLOOKUP(A84,DOI_URL!$B$1:$C$74,2,FALSE()))</f>
        <v>https://drive.google.com/file/d/1NDirzzsj6hGtrKnSi0IChLHlr2ddQZYK/view?usp=sharing</v>
      </c>
      <c r="C84" s="17" t="s">
        <v>3311</v>
      </c>
      <c r="D84" s="22"/>
      <c r="E84" s="171" t="s">
        <v>2338</v>
      </c>
      <c r="F84" s="35" t="s">
        <v>2062</v>
      </c>
      <c r="G84" s="17" t="s">
        <v>272</v>
      </c>
      <c r="H84" s="17"/>
      <c r="I84" s="17" t="s">
        <v>54</v>
      </c>
      <c r="J84" s="17" t="s">
        <v>2332</v>
      </c>
      <c r="K84" s="22"/>
      <c r="L84" s="22"/>
      <c r="M84" s="22"/>
    </row>
    <row r="85">
      <c r="A85" s="168" t="s">
        <v>256</v>
      </c>
      <c r="B85" s="167" t="str">
        <f>IF(ISBLANK(A85),"",VLOOKUP(A85,DOI_URL!$B$1:$C$74,2,FALSE()))</f>
        <v>https://drive.google.com/file/d/1NDirzzsj6hGtrKnSi0IChLHlr2ddQZYK/view?usp=sharing</v>
      </c>
      <c r="C85" s="17" t="s">
        <v>3311</v>
      </c>
      <c r="D85" s="22"/>
      <c r="E85" s="171" t="s">
        <v>2339</v>
      </c>
      <c r="F85" s="35" t="s">
        <v>2062</v>
      </c>
      <c r="G85" s="17" t="s">
        <v>2340</v>
      </c>
      <c r="H85" s="22"/>
      <c r="I85" s="17" t="s">
        <v>54</v>
      </c>
      <c r="J85" s="17" t="s">
        <v>2332</v>
      </c>
      <c r="K85" s="22"/>
      <c r="L85" s="22"/>
      <c r="M85" s="22"/>
    </row>
    <row r="86">
      <c r="A86" s="168" t="s">
        <v>256</v>
      </c>
      <c r="B86" s="167" t="str">
        <f>IF(ISBLANK(A86),"",VLOOKUP(A86,DOI_URL!$B$1:$C$74,2,FALSE()))</f>
        <v>https://drive.google.com/file/d/1NDirzzsj6hGtrKnSi0IChLHlr2ddQZYK/view?usp=sharing</v>
      </c>
      <c r="C86" s="17" t="s">
        <v>3311</v>
      </c>
      <c r="D86" s="22"/>
      <c r="E86" s="171" t="s">
        <v>2339</v>
      </c>
      <c r="F86" s="17" t="s">
        <v>910</v>
      </c>
      <c r="G86" s="17" t="s">
        <v>477</v>
      </c>
      <c r="H86" s="22"/>
      <c r="I86" s="17" t="s">
        <v>39</v>
      </c>
      <c r="J86" s="17" t="s">
        <v>2332</v>
      </c>
      <c r="K86" s="22"/>
      <c r="L86" s="22"/>
      <c r="M86" s="22"/>
    </row>
    <row r="87">
      <c r="A87" s="168" t="s">
        <v>256</v>
      </c>
      <c r="B87" s="167" t="str">
        <f>IF(ISBLANK(A87),"",VLOOKUP(A87,DOI_URL!$B$1:$C$74,2,FALSE()))</f>
        <v>https://drive.google.com/file/d/1NDirzzsj6hGtrKnSi0IChLHlr2ddQZYK/view?usp=sharing</v>
      </c>
      <c r="C87" s="17" t="s">
        <v>3311</v>
      </c>
      <c r="D87" s="22"/>
      <c r="E87" s="171" t="s">
        <v>2339</v>
      </c>
      <c r="F87" s="17" t="s">
        <v>910</v>
      </c>
      <c r="G87" s="17" t="s">
        <v>2341</v>
      </c>
      <c r="H87" s="22"/>
      <c r="I87" s="17" t="s">
        <v>39</v>
      </c>
      <c r="J87" s="17" t="s">
        <v>2332</v>
      </c>
      <c r="K87" s="22"/>
      <c r="L87" s="22"/>
      <c r="M87" s="22"/>
    </row>
    <row r="88">
      <c r="A88" s="168" t="s">
        <v>256</v>
      </c>
      <c r="B88" s="167" t="str">
        <f>IF(ISBLANK(A88),"",VLOOKUP(A88,DOI_URL!$B$1:$C$74,2,FALSE()))</f>
        <v>https://drive.google.com/file/d/1NDirzzsj6hGtrKnSi0IChLHlr2ddQZYK/view?usp=sharing</v>
      </c>
      <c r="C88" s="17" t="s">
        <v>3311</v>
      </c>
      <c r="D88" s="22"/>
      <c r="E88" s="171" t="s">
        <v>2342</v>
      </c>
      <c r="F88" s="17" t="s">
        <v>910</v>
      </c>
      <c r="G88" s="17" t="s">
        <v>2343</v>
      </c>
      <c r="H88" s="22"/>
      <c r="I88" s="17" t="s">
        <v>506</v>
      </c>
      <c r="J88" s="17" t="s">
        <v>2332</v>
      </c>
      <c r="K88" s="22"/>
      <c r="L88" s="22"/>
      <c r="M88" s="22"/>
    </row>
    <row r="89">
      <c r="A89" s="17" t="s">
        <v>128</v>
      </c>
      <c r="B89" s="167" t="str">
        <f>IF(ISBLANK(A89),"",VLOOKUP(A89,DOI_URL!$B$1:$C$74,2,FALSE()))</f>
        <v>https://drive.google.com/file/d/1oTRsugblJG5fENgDVJ3De-UDeSWjQCaq/view?usp=sharing</v>
      </c>
      <c r="C89" s="17" t="s">
        <v>3311</v>
      </c>
      <c r="D89" s="22"/>
      <c r="E89" s="49" t="s">
        <v>2278</v>
      </c>
      <c r="F89" s="35" t="s">
        <v>3342</v>
      </c>
      <c r="G89" s="17" t="s">
        <v>2280</v>
      </c>
      <c r="H89" s="22" t="s">
        <v>2281</v>
      </c>
      <c r="I89" s="17" t="s">
        <v>14</v>
      </c>
      <c r="J89" s="17" t="s">
        <v>15</v>
      </c>
      <c r="K89" s="22"/>
      <c r="L89" s="22"/>
      <c r="M89" s="22"/>
    </row>
    <row r="90">
      <c r="A90" s="17" t="s">
        <v>128</v>
      </c>
      <c r="B90" s="167" t="str">
        <f>IF(ISBLANK(A90),"",VLOOKUP(A90,DOI_URL!$B$1:$C$74,2,FALSE()))</f>
        <v>https://drive.google.com/file/d/1oTRsugblJG5fENgDVJ3De-UDeSWjQCaq/view?usp=sharing</v>
      </c>
      <c r="C90" s="17" t="s">
        <v>3311</v>
      </c>
      <c r="D90" s="22"/>
      <c r="E90" s="22" t="s">
        <v>2282</v>
      </c>
      <c r="F90" s="22" t="s">
        <v>2283</v>
      </c>
      <c r="G90" s="22" t="s">
        <v>2280</v>
      </c>
      <c r="H90" s="22" t="s">
        <v>2284</v>
      </c>
      <c r="I90" s="22" t="s">
        <v>14</v>
      </c>
      <c r="J90" s="22" t="s">
        <v>15</v>
      </c>
      <c r="K90" s="22"/>
      <c r="L90" s="22"/>
      <c r="M90" s="22"/>
    </row>
    <row r="91">
      <c r="A91" s="22" t="s">
        <v>128</v>
      </c>
      <c r="B91" s="167" t="str">
        <f>IF(ISBLANK(A91),"",VLOOKUP(A91,DOI_URL!$B$1:$C$74,2,FALSE()))</f>
        <v>https://drive.google.com/file/d/1oTRsugblJG5fENgDVJ3De-UDeSWjQCaq/view?usp=sharing</v>
      </c>
      <c r="C91" s="22" t="s">
        <v>3311</v>
      </c>
      <c r="D91" s="22"/>
      <c r="E91" s="22" t="s">
        <v>2285</v>
      </c>
      <c r="F91" s="22" t="s">
        <v>2286</v>
      </c>
      <c r="G91" s="22" t="s">
        <v>2287</v>
      </c>
      <c r="H91" s="22" t="s">
        <v>2288</v>
      </c>
      <c r="I91" s="22" t="s">
        <v>54</v>
      </c>
      <c r="J91" s="22" t="s">
        <v>15</v>
      </c>
      <c r="K91" s="22"/>
      <c r="L91" s="22"/>
      <c r="M91" s="22"/>
    </row>
    <row r="92">
      <c r="A92" s="22" t="s">
        <v>128</v>
      </c>
      <c r="B92" s="167" t="str">
        <f>IF(ISBLANK(A92),"",VLOOKUP(A92,DOI_URL!$B$1:$C$74,2,FALSE()))</f>
        <v>https://drive.google.com/file/d/1oTRsugblJG5fENgDVJ3De-UDeSWjQCaq/view?usp=sharing</v>
      </c>
      <c r="C92" s="22" t="s">
        <v>3311</v>
      </c>
      <c r="D92" s="22"/>
      <c r="E92" s="22" t="s">
        <v>2282</v>
      </c>
      <c r="F92" s="22" t="s">
        <v>2286</v>
      </c>
      <c r="G92" s="22" t="s">
        <v>2289</v>
      </c>
      <c r="H92" s="22" t="s">
        <v>2290</v>
      </c>
      <c r="I92" s="22" t="s">
        <v>54</v>
      </c>
      <c r="J92" s="22" t="s">
        <v>15</v>
      </c>
      <c r="K92" s="22"/>
      <c r="L92" s="22"/>
      <c r="M92" s="22"/>
    </row>
    <row r="93">
      <c r="A93" s="22" t="s">
        <v>128</v>
      </c>
      <c r="B93" s="167" t="str">
        <f>IF(ISBLANK(A93),"",VLOOKUP(A93,DOI_URL!$B$1:$C$74,2,FALSE()))</f>
        <v>https://drive.google.com/file/d/1oTRsugblJG5fENgDVJ3De-UDeSWjQCaq/view?usp=sharing</v>
      </c>
      <c r="C93" s="22" t="s">
        <v>3311</v>
      </c>
      <c r="D93" s="22"/>
      <c r="E93" s="22" t="s">
        <v>2291</v>
      </c>
      <c r="F93" s="22" t="s">
        <v>2286</v>
      </c>
      <c r="G93" s="22" t="s">
        <v>2292</v>
      </c>
      <c r="H93" s="22" t="s">
        <v>2293</v>
      </c>
      <c r="I93" s="22" t="s">
        <v>54</v>
      </c>
      <c r="J93" s="22" t="s">
        <v>15</v>
      </c>
      <c r="K93" s="22"/>
      <c r="L93" s="22"/>
      <c r="M93" s="22"/>
    </row>
    <row r="94">
      <c r="A94" s="22" t="s">
        <v>128</v>
      </c>
      <c r="B94" s="167" t="str">
        <f>IF(ISBLANK(A94),"",VLOOKUP(A94,DOI_URL!$B$1:$C$74,2,FALSE()))</f>
        <v>https://drive.google.com/file/d/1oTRsugblJG5fENgDVJ3De-UDeSWjQCaq/view?usp=sharing</v>
      </c>
      <c r="C94" s="22" t="s">
        <v>3311</v>
      </c>
      <c r="D94" s="22"/>
      <c r="E94" s="22" t="s">
        <v>169</v>
      </c>
      <c r="F94" s="22" t="s">
        <v>2294</v>
      </c>
      <c r="G94" s="22" t="s">
        <v>2295</v>
      </c>
      <c r="H94" s="22"/>
      <c r="I94" s="22" t="s">
        <v>39</v>
      </c>
      <c r="J94" s="22" t="s">
        <v>15</v>
      </c>
      <c r="K94" s="22"/>
      <c r="L94" s="22"/>
      <c r="M94" s="22"/>
    </row>
    <row r="95">
      <c r="A95" s="22" t="s">
        <v>128</v>
      </c>
      <c r="B95" s="167" t="str">
        <f>IF(ISBLANK(A95),"",VLOOKUP(A95,DOI_URL!$B$1:$C$74,2,FALSE()))</f>
        <v>https://drive.google.com/file/d/1oTRsugblJG5fENgDVJ3De-UDeSWjQCaq/view?usp=sharing</v>
      </c>
      <c r="C95" s="22" t="s">
        <v>3311</v>
      </c>
      <c r="D95" s="22"/>
      <c r="E95" s="22" t="s">
        <v>169</v>
      </c>
      <c r="F95" s="22" t="s">
        <v>2294</v>
      </c>
      <c r="G95" s="22" t="s">
        <v>2296</v>
      </c>
      <c r="H95" s="22"/>
      <c r="I95" s="22" t="s">
        <v>39</v>
      </c>
      <c r="J95" s="22" t="s">
        <v>15</v>
      </c>
      <c r="K95" s="22"/>
      <c r="L95" s="22"/>
      <c r="M95" s="22"/>
    </row>
    <row r="96">
      <c r="A96" s="22" t="s">
        <v>128</v>
      </c>
      <c r="B96" s="167" t="str">
        <f>IF(ISBLANK(A96),"",VLOOKUP(A96,DOI_URL!$B$1:$C$74,2,FALSE()))</f>
        <v>https://drive.google.com/file/d/1oTRsugblJG5fENgDVJ3De-UDeSWjQCaq/view?usp=sharing</v>
      </c>
      <c r="C96" s="22" t="s">
        <v>3311</v>
      </c>
      <c r="D96" s="22"/>
      <c r="E96" s="22" t="s">
        <v>169</v>
      </c>
      <c r="F96" s="22" t="s">
        <v>2294</v>
      </c>
      <c r="G96" s="22" t="s">
        <v>2297</v>
      </c>
      <c r="H96" s="22"/>
      <c r="I96" s="22" t="s">
        <v>39</v>
      </c>
      <c r="J96" s="22" t="s">
        <v>15</v>
      </c>
      <c r="K96" s="22"/>
      <c r="L96" s="22"/>
      <c r="M96" s="22"/>
    </row>
    <row r="97">
      <c r="A97" s="22" t="s">
        <v>128</v>
      </c>
      <c r="B97" s="167" t="str">
        <f>IF(ISBLANK(A97),"",VLOOKUP(A97,DOI_URL!$B$1:$C$74,2,FALSE()))</f>
        <v>https://drive.google.com/file/d/1oTRsugblJG5fENgDVJ3De-UDeSWjQCaq/view?usp=sharing</v>
      </c>
      <c r="C97" s="22" t="s">
        <v>3311</v>
      </c>
      <c r="D97" s="22"/>
      <c r="E97" s="22" t="s">
        <v>169</v>
      </c>
      <c r="F97" s="22" t="s">
        <v>170</v>
      </c>
      <c r="G97" s="22" t="s">
        <v>171</v>
      </c>
      <c r="H97" s="22" t="s">
        <v>2298</v>
      </c>
      <c r="I97" s="22" t="s">
        <v>39</v>
      </c>
      <c r="J97" s="22" t="s">
        <v>15</v>
      </c>
      <c r="K97" s="22"/>
      <c r="L97" s="22"/>
      <c r="M97" s="22"/>
    </row>
    <row r="98">
      <c r="A98" s="22" t="s">
        <v>128</v>
      </c>
      <c r="B98" s="167" t="str">
        <f>IF(ISBLANK(A98),"",VLOOKUP(A98,DOI_URL!$B$1:$C$74,2,FALSE()))</f>
        <v>https://drive.google.com/file/d/1oTRsugblJG5fENgDVJ3De-UDeSWjQCaq/view?usp=sharing</v>
      </c>
      <c r="C98" s="22" t="s">
        <v>3311</v>
      </c>
      <c r="D98" s="22"/>
      <c r="E98" s="22" t="s">
        <v>169</v>
      </c>
      <c r="F98" s="22" t="s">
        <v>170</v>
      </c>
      <c r="G98" s="22" t="s">
        <v>173</v>
      </c>
      <c r="H98" s="22"/>
      <c r="I98" s="22" t="s">
        <v>39</v>
      </c>
      <c r="J98" s="22" t="s">
        <v>15</v>
      </c>
      <c r="K98" s="22"/>
      <c r="L98" s="22"/>
      <c r="M98" s="22"/>
    </row>
    <row r="99">
      <c r="A99" s="22" t="s">
        <v>636</v>
      </c>
      <c r="B99" s="167" t="str">
        <f>IF(ISBLANK(A99),"",VLOOKUP(A99,DOI_URL!$B$1:$C$74,2,FALSE()))</f>
        <v>https://drive.google.com/file/d/1XgKvlH2BmKeD0YQIFn07Xd0xAeEr4Cqn/view?usp=sharing</v>
      </c>
      <c r="C99" s="22" t="s">
        <v>3311</v>
      </c>
      <c r="D99" s="22"/>
      <c r="E99" s="22" t="s">
        <v>3343</v>
      </c>
      <c r="F99" s="22"/>
      <c r="G99" s="22"/>
      <c r="H99" s="22"/>
      <c r="I99" s="22"/>
      <c r="J99" s="22"/>
      <c r="K99" s="22"/>
      <c r="L99" s="22"/>
      <c r="M99" s="22"/>
    </row>
    <row r="100">
      <c r="A100" s="8"/>
      <c r="B100" s="8" t="str">
        <f>IF(ISBLANK(A100),"",VLOOKUP(A100,DOI_URL!$B$1:$C$74,2,FALSE()))</f>
        <v/>
      </c>
      <c r="C100" s="8"/>
      <c r="D100" s="8"/>
      <c r="I100" s="8"/>
      <c r="J100" s="8"/>
    </row>
    <row r="101">
      <c r="A101" s="8"/>
      <c r="B101" s="8" t="str">
        <f>IF(ISBLANK(A101),"",VLOOKUP(A101,DOI_URL!$B$1:$C$74,2,FALSE()))</f>
        <v/>
      </c>
      <c r="C101" s="8"/>
      <c r="D101" s="8"/>
      <c r="I101" s="8"/>
      <c r="J101" s="8"/>
    </row>
    <row r="102">
      <c r="A102" s="8"/>
      <c r="B102" s="8" t="str">
        <f>IF(ISBLANK(A102),"",VLOOKUP(A102,DOI_URL!$B$1:$C$74,2,FALSE()))</f>
        <v/>
      </c>
      <c r="C102" s="8"/>
      <c r="D102" s="8"/>
      <c r="I102" s="8"/>
      <c r="J102" s="8"/>
    </row>
    <row r="103">
      <c r="A103" s="8"/>
      <c r="B103" s="8" t="str">
        <f>IF(ISBLANK(A103),"",VLOOKUP(A103,DOI_URL!$B$1:$C$74,2,FALSE()))</f>
        <v/>
      </c>
      <c r="C103" s="8"/>
      <c r="D103" s="8"/>
      <c r="I103" s="8"/>
      <c r="J103" s="8"/>
    </row>
    <row r="104">
      <c r="A104" s="8"/>
      <c r="B104" s="8" t="str">
        <f>IF(ISBLANK(A104),"",VLOOKUP(A104,DOI_URL!$B$1:$C$74,2,FALSE()))</f>
        <v/>
      </c>
      <c r="C104" s="8"/>
      <c r="D104" s="8"/>
      <c r="I104" s="8"/>
      <c r="J104" s="8"/>
    </row>
    <row r="105">
      <c r="A105" s="8"/>
      <c r="B105" s="8" t="str">
        <f>IF(ISBLANK(A105),"",VLOOKUP(A105,DOI_URL!$B$1:$C$74,2,FALSE()))</f>
        <v/>
      </c>
      <c r="C105" s="8"/>
      <c r="D105" s="8"/>
      <c r="I105" s="8"/>
      <c r="J105" s="8"/>
    </row>
    <row r="106">
      <c r="A106" s="8"/>
      <c r="B106" s="8" t="str">
        <f>IF(ISBLANK(A106),"",VLOOKUP(A106,DOI_URL!$B$1:$C$74,2,FALSE()))</f>
        <v/>
      </c>
      <c r="C106" s="8"/>
      <c r="D106" s="8"/>
      <c r="I106" s="8"/>
      <c r="J106" s="8"/>
    </row>
    <row r="107">
      <c r="A107" s="8"/>
      <c r="B107" s="8" t="str">
        <f>IF(ISBLANK(A107),"",VLOOKUP(A107,DOI_URL!$B$1:$C$74,2,FALSE()))</f>
        <v/>
      </c>
      <c r="C107" s="8"/>
      <c r="D107" s="8"/>
      <c r="I107" s="8"/>
      <c r="J107" s="8"/>
    </row>
    <row r="108">
      <c r="A108" s="8"/>
      <c r="B108" s="8" t="str">
        <f>IF(ISBLANK(A108),"",VLOOKUP(A108,DOI_URL!$B$1:$C$74,2,FALSE()))</f>
        <v/>
      </c>
      <c r="C108" s="8"/>
      <c r="D108" s="8"/>
      <c r="I108" s="8"/>
      <c r="J108" s="8"/>
    </row>
    <row r="109">
      <c r="A109" s="8"/>
      <c r="B109" s="8" t="str">
        <f>IF(ISBLANK(A109),"",VLOOKUP(A109,DOI_URL!$B$1:$C$74,2,FALSE()))</f>
        <v/>
      </c>
      <c r="C109" s="8"/>
      <c r="D109" s="8"/>
      <c r="I109" s="8"/>
      <c r="J109" s="8"/>
    </row>
    <row r="110">
      <c r="A110" s="8"/>
      <c r="B110" s="8" t="str">
        <f>IF(ISBLANK(A110),"",VLOOKUP(A110,DOI_URL!$B$1:$C$74,2,FALSE()))</f>
        <v/>
      </c>
      <c r="C110" s="8"/>
      <c r="D110" s="8"/>
      <c r="I110" s="8"/>
      <c r="J110" s="8"/>
    </row>
    <row r="111">
      <c r="A111" s="8"/>
      <c r="B111" s="8" t="str">
        <f>IF(ISBLANK(A111),"",VLOOKUP(A111,DOI_URL!$B$1:$C$74,2,FALSE()))</f>
        <v/>
      </c>
      <c r="C111" s="8"/>
      <c r="D111" s="8"/>
      <c r="I111" s="8"/>
      <c r="J111" s="8"/>
    </row>
    <row r="112">
      <c r="A112" s="8"/>
      <c r="B112" s="8" t="str">
        <f>IF(ISBLANK(A112),"",VLOOKUP(A112,DOI_URL!$B$1:$C$74,2,FALSE()))</f>
        <v/>
      </c>
      <c r="C112" s="8"/>
      <c r="D112" s="8"/>
      <c r="I112" s="8"/>
      <c r="J112" s="8"/>
    </row>
    <row r="113">
      <c r="A113" s="8"/>
      <c r="B113" s="8" t="str">
        <f>IF(ISBLANK(A113),"",VLOOKUP(A113,DOI_URL!$B$1:$C$74,2,FALSE()))</f>
        <v/>
      </c>
      <c r="C113" s="8"/>
      <c r="D113" s="8"/>
      <c r="I113" s="8"/>
      <c r="J113" s="8"/>
    </row>
    <row r="114">
      <c r="A114" s="8"/>
      <c r="B114" s="8" t="str">
        <f>IF(ISBLANK(A114),"",VLOOKUP(A114,DOI_URL!$B$1:$C$74,2,FALSE()))</f>
        <v/>
      </c>
      <c r="C114" s="8"/>
      <c r="D114" s="8"/>
      <c r="I114" s="8"/>
      <c r="J114" s="8"/>
    </row>
    <row r="115">
      <c r="A115" s="8"/>
      <c r="B115" s="8" t="str">
        <f>IF(ISBLANK(A115),"",VLOOKUP(A115,DOI_URL!$B$1:$C$74,2,FALSE()))</f>
        <v/>
      </c>
      <c r="C115" s="8"/>
      <c r="D115" s="8"/>
      <c r="I115" s="8"/>
      <c r="J115" s="8"/>
    </row>
    <row r="116">
      <c r="A116" s="8"/>
      <c r="B116" s="8" t="str">
        <f>IF(ISBLANK(A116),"",VLOOKUP(A116,DOI_URL!$B$1:$C$74,2,FALSE()))</f>
        <v/>
      </c>
      <c r="C116" s="8"/>
      <c r="D116" s="8"/>
      <c r="I116" s="8"/>
      <c r="J116" s="8"/>
    </row>
    <row r="117">
      <c r="A117" s="8"/>
      <c r="B117" s="8" t="str">
        <f>IF(ISBLANK(A117),"",VLOOKUP(A117,DOI_URL!$B$1:$C$74,2,FALSE()))</f>
        <v/>
      </c>
      <c r="C117" s="8"/>
      <c r="D117" s="8"/>
      <c r="I117" s="8"/>
      <c r="J117" s="8"/>
    </row>
    <row r="118">
      <c r="A118" s="8"/>
      <c r="B118" s="8" t="str">
        <f>IF(ISBLANK(A118),"",VLOOKUP(A118,DOI_URL!$B$1:$C$74,2,FALSE()))</f>
        <v/>
      </c>
      <c r="C118" s="8"/>
      <c r="D118" s="8"/>
      <c r="I118" s="8"/>
      <c r="J118" s="8"/>
    </row>
    <row r="119">
      <c r="A119" s="8"/>
      <c r="B119" s="8" t="str">
        <f>IF(ISBLANK(A119),"",VLOOKUP(A119,DOI_URL!$B$1:$C$74,2,FALSE()))</f>
        <v/>
      </c>
      <c r="C119" s="8"/>
      <c r="D119" s="8"/>
      <c r="I119" s="8"/>
      <c r="J119" s="8"/>
    </row>
    <row r="120">
      <c r="A120" s="8"/>
      <c r="B120" s="8" t="str">
        <f>IF(ISBLANK(A120),"",VLOOKUP(A120,DOI_URL!$B$1:$C$74,2,FALSE()))</f>
        <v/>
      </c>
      <c r="C120" s="8"/>
      <c r="D120" s="8"/>
      <c r="I120" s="8"/>
      <c r="J120" s="8"/>
    </row>
    <row r="121">
      <c r="A121" s="8"/>
      <c r="B121" s="8" t="str">
        <f>IF(ISBLANK(A121),"",VLOOKUP(A121,DOI_URL!$B$1:$C$74,2,FALSE()))</f>
        <v/>
      </c>
      <c r="C121" s="8"/>
      <c r="D121" s="8"/>
      <c r="I121" s="8"/>
      <c r="J121" s="8"/>
    </row>
    <row r="122">
      <c r="A122" s="8"/>
      <c r="B122" s="8" t="str">
        <f>IF(ISBLANK(A122),"",VLOOKUP(A122,DOI_URL!$B$1:$C$74,2,FALSE()))</f>
        <v/>
      </c>
      <c r="C122" s="8"/>
      <c r="D122" s="8"/>
      <c r="I122" s="8"/>
      <c r="J122" s="8"/>
    </row>
    <row r="123">
      <c r="A123" s="8"/>
      <c r="B123" s="8" t="str">
        <f>IF(ISBLANK(A123),"",VLOOKUP(A123,DOI_URL!$B$1:$C$74,2,FALSE()))</f>
        <v/>
      </c>
      <c r="C123" s="8"/>
      <c r="D123" s="8"/>
      <c r="I123" s="8"/>
      <c r="J123" s="8"/>
    </row>
    <row r="124">
      <c r="A124" s="8"/>
      <c r="B124" s="8" t="str">
        <f>IF(ISBLANK(A124),"",VLOOKUP(A124,DOI_URL!$B$1:$C$74,2,FALSE()))</f>
        <v/>
      </c>
      <c r="C124" s="8"/>
      <c r="D124" s="8"/>
      <c r="I124" s="8"/>
      <c r="J124" s="8"/>
    </row>
    <row r="125">
      <c r="A125" s="8"/>
      <c r="B125" s="8" t="str">
        <f>IF(ISBLANK(A125),"",VLOOKUP(A125,DOI_URL!$B$1:$C$74,2,FALSE()))</f>
        <v/>
      </c>
      <c r="C125" s="8"/>
      <c r="D125" s="8"/>
      <c r="I125" s="8"/>
      <c r="J125" s="8"/>
    </row>
    <row r="126">
      <c r="A126" s="8"/>
      <c r="B126" s="8" t="str">
        <f>IF(ISBLANK(A126),"",VLOOKUP(A126,DOI_URL!$B$1:$C$74,2,FALSE()))</f>
        <v/>
      </c>
      <c r="C126" s="8"/>
      <c r="D126" s="8"/>
      <c r="I126" s="8"/>
      <c r="J126" s="8"/>
    </row>
    <row r="127">
      <c r="A127" s="8"/>
      <c r="B127" s="8" t="str">
        <f>IF(ISBLANK(A127),"",VLOOKUP(A127,DOI_URL!$B$1:$C$74,2,FALSE()))</f>
        <v/>
      </c>
      <c r="C127" s="8"/>
      <c r="D127" s="8"/>
      <c r="I127" s="8"/>
      <c r="J127" s="8"/>
    </row>
    <row r="128">
      <c r="A128" s="8"/>
      <c r="B128" s="8" t="str">
        <f>IF(ISBLANK(A128),"",VLOOKUP(A128,DOI_URL!$B$1:$C$74,2,FALSE()))</f>
        <v/>
      </c>
      <c r="C128" s="8"/>
      <c r="D128" s="8"/>
      <c r="I128" s="8"/>
      <c r="J128" s="8"/>
    </row>
    <row r="129">
      <c r="A129" s="8"/>
      <c r="B129" s="8" t="str">
        <f>IF(ISBLANK(A129),"",VLOOKUP(A129,DOI_URL!$B$1:$C$74,2,FALSE()))</f>
        <v/>
      </c>
      <c r="C129" s="8"/>
      <c r="D129" s="8"/>
      <c r="I129" s="8"/>
      <c r="J129" s="8"/>
    </row>
    <row r="130">
      <c r="A130" s="8"/>
      <c r="B130" s="8" t="str">
        <f>IF(ISBLANK(A130),"",VLOOKUP(A130,DOI_URL!$B$1:$C$74,2,FALSE()))</f>
        <v/>
      </c>
      <c r="C130" s="8"/>
      <c r="D130" s="8"/>
      <c r="I130" s="8"/>
      <c r="J130" s="8"/>
    </row>
    <row r="131">
      <c r="A131" s="8"/>
      <c r="B131" s="8" t="str">
        <f>IF(ISBLANK(A131),"",VLOOKUP(A131,DOI_URL!$B$1:$C$74,2,FALSE()))</f>
        <v/>
      </c>
      <c r="C131" s="8"/>
      <c r="D131" s="8"/>
      <c r="I131" s="8"/>
      <c r="J131" s="8"/>
    </row>
    <row r="132">
      <c r="A132" s="8"/>
      <c r="B132" s="8" t="str">
        <f>IF(ISBLANK(A132),"",VLOOKUP(A132,DOI_URL!$B$1:$C$74,2,FALSE()))</f>
        <v/>
      </c>
      <c r="C132" s="8"/>
      <c r="D132" s="8"/>
      <c r="I132" s="8"/>
      <c r="J132" s="8"/>
    </row>
    <row r="133">
      <c r="A133" s="8"/>
      <c r="B133" s="8" t="str">
        <f>IF(ISBLANK(A133),"",VLOOKUP(A133,DOI_URL!$B$1:$C$74,2,FALSE()))</f>
        <v/>
      </c>
      <c r="C133" s="8"/>
      <c r="D133" s="8"/>
      <c r="I133" s="8"/>
      <c r="J133" s="8"/>
    </row>
    <row r="134">
      <c r="A134" s="8"/>
      <c r="B134" s="8" t="str">
        <f>IF(ISBLANK(A134),"",VLOOKUP(A134,DOI_URL!$B$1:$C$74,2,FALSE()))</f>
        <v/>
      </c>
      <c r="C134" s="8"/>
      <c r="D134" s="8"/>
      <c r="I134" s="8"/>
      <c r="J134" s="8"/>
    </row>
    <row r="135">
      <c r="A135" s="8"/>
      <c r="B135" s="8" t="str">
        <f>IF(ISBLANK(A135),"",VLOOKUP(A135,DOI_URL!$B$1:$C$74,2,FALSE()))</f>
        <v/>
      </c>
      <c r="C135" s="8"/>
      <c r="D135" s="8"/>
      <c r="I135" s="8"/>
      <c r="J135" s="8"/>
    </row>
    <row r="136">
      <c r="A136" s="8"/>
      <c r="B136" s="8" t="str">
        <f>IF(ISBLANK(A136),"",VLOOKUP(A136,DOI_URL!$B$1:$C$74,2,FALSE()))</f>
        <v/>
      </c>
      <c r="C136" s="8"/>
      <c r="D136" s="8"/>
      <c r="I136" s="8"/>
      <c r="J136" s="8"/>
    </row>
    <row r="137">
      <c r="A137" s="8"/>
      <c r="B137" s="8" t="str">
        <f>IF(ISBLANK(A137),"",VLOOKUP(A137,DOI_URL!$B$1:$C$74,2,FALSE()))</f>
        <v/>
      </c>
      <c r="C137" s="8"/>
      <c r="D137" s="8"/>
      <c r="I137" s="8"/>
      <c r="J137" s="8"/>
    </row>
    <row r="138">
      <c r="A138" s="8"/>
      <c r="B138" s="8" t="str">
        <f>IF(ISBLANK(A138),"",VLOOKUP(A138,DOI_URL!$B$1:$C$74,2,FALSE()))</f>
        <v/>
      </c>
      <c r="C138" s="8"/>
      <c r="D138" s="8"/>
      <c r="I138" s="8"/>
      <c r="J138" s="8"/>
    </row>
    <row r="139">
      <c r="A139" s="8"/>
      <c r="B139" s="8" t="str">
        <f>IF(ISBLANK(A139),"",VLOOKUP(A139,DOI_URL!$B$1:$C$74,2,FALSE()))</f>
        <v/>
      </c>
      <c r="C139" s="8"/>
      <c r="D139" s="8"/>
      <c r="I139" s="8"/>
      <c r="J139" s="8"/>
    </row>
    <row r="140">
      <c r="A140" s="8"/>
      <c r="B140" s="8" t="str">
        <f>IF(ISBLANK(A140),"",VLOOKUP(A140,DOI_URL!$B$1:$C$74,2,FALSE()))</f>
        <v/>
      </c>
      <c r="C140" s="8"/>
      <c r="D140" s="8"/>
      <c r="I140" s="8"/>
      <c r="J140" s="8"/>
    </row>
    <row r="141">
      <c r="A141" s="8"/>
      <c r="B141" s="8" t="str">
        <f>IF(ISBLANK(A141),"",VLOOKUP(A141,DOI_URL!$B$1:$C$74,2,FALSE()))</f>
        <v/>
      </c>
      <c r="C141" s="8"/>
      <c r="D141" s="8"/>
      <c r="I141" s="8"/>
      <c r="J141" s="8"/>
    </row>
    <row r="142">
      <c r="A142" s="8"/>
      <c r="B142" s="8" t="str">
        <f>IF(ISBLANK(A142),"",VLOOKUP(A142,DOI_URL!$B$1:$C$74,2,FALSE()))</f>
        <v/>
      </c>
      <c r="C142" s="8"/>
      <c r="D142" s="8"/>
      <c r="I142" s="8"/>
      <c r="J142" s="8"/>
    </row>
    <row r="143">
      <c r="A143" s="8"/>
      <c r="B143" s="8" t="str">
        <f>IF(ISBLANK(A143),"",VLOOKUP(A143,DOI_URL!$B$1:$C$74,2,FALSE()))</f>
        <v/>
      </c>
      <c r="C143" s="8"/>
      <c r="D143" s="8"/>
      <c r="I143" s="8"/>
      <c r="J143" s="8"/>
    </row>
    <row r="144">
      <c r="A144" s="8"/>
      <c r="B144" s="8" t="str">
        <f>IF(ISBLANK(A144),"",VLOOKUP(A144,DOI_URL!$B$1:$C$74,2,FALSE()))</f>
        <v/>
      </c>
      <c r="C144" s="8"/>
      <c r="D144" s="8"/>
      <c r="I144" s="8"/>
      <c r="J144" s="8"/>
    </row>
    <row r="145">
      <c r="A145" s="8"/>
      <c r="B145" s="8" t="str">
        <f>IF(ISBLANK(A145),"",VLOOKUP(A145,DOI_URL!$B$1:$C$74,2,FALSE()))</f>
        <v/>
      </c>
      <c r="C145" s="8"/>
      <c r="D145" s="8"/>
      <c r="I145" s="8"/>
      <c r="J145" s="8"/>
    </row>
    <row r="146">
      <c r="A146" s="8"/>
      <c r="B146" s="8" t="str">
        <f>IF(ISBLANK(A146),"",VLOOKUP(A146,DOI_URL!$B$1:$C$74,2,FALSE()))</f>
        <v/>
      </c>
      <c r="C146" s="8"/>
      <c r="D146" s="8"/>
      <c r="I146" s="8"/>
      <c r="J146" s="8"/>
    </row>
    <row r="147">
      <c r="A147" s="8"/>
      <c r="B147" s="8" t="str">
        <f>IF(ISBLANK(A147),"",VLOOKUP(A147,DOI_URL!$B$1:$C$74,2,FALSE()))</f>
        <v/>
      </c>
      <c r="C147" s="8"/>
      <c r="D147" s="8"/>
      <c r="I147" s="8"/>
      <c r="J147" s="8"/>
    </row>
    <row r="148">
      <c r="A148" s="8"/>
      <c r="B148" s="8" t="str">
        <f>IF(ISBLANK(A148),"",VLOOKUP(A148,DOI_URL!$B$1:$C$74,2,FALSE()))</f>
        <v/>
      </c>
      <c r="C148" s="8"/>
      <c r="D148" s="8"/>
      <c r="I148" s="8"/>
      <c r="J148" s="8"/>
    </row>
    <row r="149">
      <c r="A149" s="8"/>
      <c r="B149" s="8" t="str">
        <f>IF(ISBLANK(A149),"",VLOOKUP(A149,DOI_URL!$B$1:$C$74,2,FALSE()))</f>
        <v/>
      </c>
      <c r="C149" s="8"/>
      <c r="D149" s="8"/>
      <c r="I149" s="8"/>
      <c r="J149" s="8"/>
    </row>
    <row r="150">
      <c r="A150" s="8"/>
      <c r="B150" s="8" t="str">
        <f>IF(ISBLANK(A150),"",VLOOKUP(A150,DOI_URL!$B$1:$C$74,2,FALSE()))</f>
        <v/>
      </c>
      <c r="C150" s="8"/>
      <c r="D150" s="8"/>
      <c r="I150" s="8"/>
      <c r="J150" s="8"/>
    </row>
    <row r="151">
      <c r="A151" s="8"/>
      <c r="B151" s="8" t="str">
        <f>IF(ISBLANK(A151),"",VLOOKUP(A151,DOI_URL!$B$1:$C$74,2,FALSE()))</f>
        <v/>
      </c>
      <c r="C151" s="8"/>
      <c r="D151" s="8"/>
      <c r="I151" s="8"/>
      <c r="J151" s="8"/>
    </row>
    <row r="152">
      <c r="A152" s="8"/>
      <c r="B152" s="8" t="str">
        <f>IF(ISBLANK(A152),"",VLOOKUP(A152,DOI_URL!$B$1:$C$74,2,FALSE()))</f>
        <v/>
      </c>
      <c r="C152" s="8"/>
      <c r="D152" s="8"/>
      <c r="I152" s="8"/>
      <c r="J152" s="8"/>
    </row>
    <row r="153">
      <c r="A153" s="8"/>
      <c r="B153" s="8" t="str">
        <f>IF(ISBLANK(A153),"",VLOOKUP(A153,DOI_URL!$B$1:$C$74,2,FALSE()))</f>
        <v/>
      </c>
      <c r="C153" s="8"/>
      <c r="D153" s="8"/>
      <c r="I153" s="8"/>
      <c r="J153" s="8"/>
    </row>
    <row r="154">
      <c r="A154" s="8"/>
      <c r="B154" s="8" t="str">
        <f>IF(ISBLANK(A154),"",VLOOKUP(A154,DOI_URL!$B$1:$C$74,2,FALSE()))</f>
        <v/>
      </c>
      <c r="C154" s="8"/>
      <c r="D154" s="8"/>
      <c r="I154" s="8"/>
      <c r="J154" s="8"/>
    </row>
    <row r="155">
      <c r="A155" s="8"/>
      <c r="B155" s="8" t="str">
        <f>IF(ISBLANK(A155),"",VLOOKUP(A155,DOI_URL!$B$1:$C$74,2,FALSE()))</f>
        <v/>
      </c>
      <c r="C155" s="8"/>
      <c r="D155" s="8"/>
      <c r="I155" s="8"/>
      <c r="J155" s="8"/>
    </row>
    <row r="156">
      <c r="A156" s="8"/>
      <c r="B156" s="8" t="str">
        <f>IF(ISBLANK(A156),"",VLOOKUP(A156,DOI_URL!$B$1:$C$74,2,FALSE()))</f>
        <v/>
      </c>
      <c r="C156" s="8"/>
      <c r="D156" s="8"/>
      <c r="I156" s="8"/>
      <c r="J156" s="8"/>
    </row>
    <row r="157">
      <c r="A157" s="8"/>
      <c r="B157" s="8" t="str">
        <f>IF(ISBLANK(A157),"",VLOOKUP(A157,DOI_URL!$B$1:$C$74,2,FALSE()))</f>
        <v/>
      </c>
      <c r="C157" s="8"/>
      <c r="D157" s="8"/>
      <c r="I157" s="8"/>
      <c r="J157" s="8"/>
    </row>
    <row r="158">
      <c r="A158" s="8"/>
      <c r="B158" s="8" t="str">
        <f>IF(ISBLANK(A158),"",VLOOKUP(A158,DOI_URL!$B$1:$C$74,2,FALSE()))</f>
        <v/>
      </c>
      <c r="C158" s="8"/>
      <c r="D158" s="8"/>
      <c r="I158" s="8"/>
      <c r="J158" s="8"/>
    </row>
    <row r="159">
      <c r="A159" s="8"/>
      <c r="B159" s="8" t="str">
        <f>IF(ISBLANK(A159),"",VLOOKUP(A159,DOI_URL!$B$1:$C$74,2,FALSE()))</f>
        <v/>
      </c>
      <c r="C159" s="8"/>
      <c r="D159" s="8"/>
      <c r="I159" s="8"/>
      <c r="J159" s="8"/>
    </row>
    <row r="160">
      <c r="A160" s="8"/>
      <c r="B160" s="8" t="str">
        <f>IF(ISBLANK(A160),"",VLOOKUP(A160,DOI_URL!$B$1:$C$74,2,FALSE()))</f>
        <v/>
      </c>
      <c r="C160" s="8"/>
      <c r="D160" s="8"/>
      <c r="I160" s="8"/>
      <c r="J160" s="8"/>
    </row>
    <row r="161">
      <c r="A161" s="8"/>
      <c r="B161" s="8" t="str">
        <f>IF(ISBLANK(A161),"",VLOOKUP(A161,DOI_URL!$B$1:$C$74,2,FALSE()))</f>
        <v/>
      </c>
      <c r="C161" s="8"/>
      <c r="D161" s="8"/>
      <c r="I161" s="8"/>
      <c r="J161" s="8"/>
    </row>
    <row r="162">
      <c r="A162" s="8"/>
      <c r="B162" s="8" t="str">
        <f>IF(ISBLANK(A162),"",VLOOKUP(A162,DOI_URL!$B$1:$C$74,2,FALSE()))</f>
        <v/>
      </c>
      <c r="C162" s="8"/>
      <c r="D162" s="8"/>
      <c r="I162" s="8"/>
      <c r="J162" s="8"/>
    </row>
    <row r="163">
      <c r="A163" s="8"/>
      <c r="B163" s="8" t="str">
        <f>IF(ISBLANK(A163),"",VLOOKUP(A163,DOI_URL!$B$1:$C$74,2,FALSE()))</f>
        <v/>
      </c>
      <c r="C163" s="8"/>
      <c r="D163" s="8"/>
      <c r="I163" s="8"/>
      <c r="J163" s="8"/>
    </row>
    <row r="164">
      <c r="A164" s="8"/>
      <c r="B164" s="8" t="str">
        <f>IF(ISBLANK(A164),"",VLOOKUP(A164,DOI_URL!$B$1:$C$74,2,FALSE()))</f>
        <v/>
      </c>
      <c r="C164" s="8"/>
      <c r="D164" s="8"/>
      <c r="I164" s="8"/>
      <c r="J164" s="8"/>
    </row>
    <row r="165">
      <c r="A165" s="8"/>
      <c r="B165" s="8" t="str">
        <f>IF(ISBLANK(A165),"",VLOOKUP(A165,DOI_URL!$B$1:$C$74,2,FALSE()))</f>
        <v/>
      </c>
      <c r="C165" s="8"/>
      <c r="D165" s="8"/>
      <c r="I165" s="8"/>
      <c r="J165" s="8"/>
    </row>
    <row r="166">
      <c r="A166" s="8"/>
      <c r="B166" s="8" t="str">
        <f>IF(ISBLANK(A166),"",VLOOKUP(A166,DOI_URL!$B$1:$C$74,2,FALSE()))</f>
        <v/>
      </c>
      <c r="C166" s="8"/>
      <c r="D166" s="8"/>
      <c r="I166" s="8"/>
      <c r="J166" s="8"/>
    </row>
    <row r="167">
      <c r="A167" s="8"/>
      <c r="B167" s="8" t="str">
        <f>IF(ISBLANK(A167),"",VLOOKUP(A167,DOI_URL!$B$1:$C$74,2,FALSE()))</f>
        <v/>
      </c>
      <c r="C167" s="8"/>
      <c r="D167" s="8"/>
      <c r="I167" s="8"/>
      <c r="J167" s="8"/>
    </row>
    <row r="168">
      <c r="A168" s="8"/>
      <c r="B168" s="8" t="str">
        <f>IF(ISBLANK(A168),"",VLOOKUP(A168,DOI_URL!$B$1:$C$74,2,FALSE()))</f>
        <v/>
      </c>
      <c r="C168" s="8"/>
      <c r="D168" s="8"/>
      <c r="I168" s="8"/>
      <c r="J168" s="8"/>
    </row>
    <row r="169">
      <c r="A169" s="8"/>
      <c r="B169" s="8" t="str">
        <f>IF(ISBLANK(A169),"",VLOOKUP(A169,DOI_URL!$B$1:$C$74,2,FALSE()))</f>
        <v/>
      </c>
      <c r="C169" s="8"/>
      <c r="D169" s="8"/>
      <c r="I169" s="8"/>
      <c r="J169" s="8"/>
    </row>
    <row r="170">
      <c r="A170" s="8"/>
      <c r="B170" s="8" t="str">
        <f>IF(ISBLANK(A170),"",VLOOKUP(A170,DOI_URL!$B$1:$C$74,2,FALSE()))</f>
        <v/>
      </c>
      <c r="C170" s="8"/>
      <c r="D170" s="8"/>
      <c r="I170" s="8"/>
      <c r="J170" s="8"/>
    </row>
    <row r="171">
      <c r="A171" s="8"/>
      <c r="B171" s="8" t="str">
        <f>IF(ISBLANK(A171),"",VLOOKUP(A171,DOI_URL!$B$1:$C$74,2,FALSE()))</f>
        <v/>
      </c>
      <c r="C171" s="8"/>
      <c r="D171" s="8"/>
      <c r="I171" s="8"/>
      <c r="J171" s="8"/>
    </row>
    <row r="172">
      <c r="A172" s="8"/>
      <c r="B172" s="8" t="str">
        <f>IF(ISBLANK(A172),"",VLOOKUP(A172,DOI_URL!$B$1:$C$74,2,FALSE()))</f>
        <v/>
      </c>
      <c r="C172" s="8"/>
      <c r="D172" s="8"/>
      <c r="I172" s="8"/>
      <c r="J172" s="8"/>
    </row>
    <row r="173">
      <c r="A173" s="8"/>
      <c r="B173" s="8" t="str">
        <f>IF(ISBLANK(A173),"",VLOOKUP(A173,DOI_URL!$B$1:$C$74,2,FALSE()))</f>
        <v/>
      </c>
      <c r="C173" s="8"/>
      <c r="D173" s="8"/>
      <c r="I173" s="8"/>
      <c r="J173" s="8"/>
    </row>
    <row r="174">
      <c r="A174" s="8"/>
      <c r="B174" s="8" t="str">
        <f>IF(ISBLANK(A174),"",VLOOKUP(A174,DOI_URL!$B$1:$C$74,2,FALSE()))</f>
        <v/>
      </c>
      <c r="C174" s="8"/>
      <c r="D174" s="8"/>
      <c r="I174" s="8"/>
      <c r="J174" s="8"/>
    </row>
    <row r="175">
      <c r="A175" s="8"/>
      <c r="B175" s="8" t="str">
        <f>IF(ISBLANK(A175),"",VLOOKUP(A175,DOI_URL!$B$1:$C$74,2,FALSE()))</f>
        <v/>
      </c>
      <c r="C175" s="8"/>
      <c r="D175" s="8"/>
      <c r="I175" s="8"/>
      <c r="J175" s="8"/>
    </row>
    <row r="176">
      <c r="A176" s="8"/>
      <c r="B176" s="8" t="str">
        <f>IF(ISBLANK(A176),"",VLOOKUP(A176,DOI_URL!$B$1:$C$74,2,FALSE()))</f>
        <v/>
      </c>
      <c r="C176" s="8"/>
      <c r="D176" s="8"/>
      <c r="I176" s="8"/>
      <c r="J176" s="8"/>
    </row>
    <row r="177">
      <c r="A177" s="8"/>
      <c r="B177" s="8" t="str">
        <f>IF(ISBLANK(A177),"",VLOOKUP(A177,DOI_URL!$B$1:$C$74,2,FALSE()))</f>
        <v/>
      </c>
      <c r="C177" s="8"/>
      <c r="D177" s="8"/>
      <c r="I177" s="8"/>
      <c r="J177" s="8"/>
    </row>
    <row r="178">
      <c r="A178" s="8"/>
      <c r="B178" s="8" t="str">
        <f>IF(ISBLANK(A178),"",VLOOKUP(A178,DOI_URL!$B$1:$C$74,2,FALSE()))</f>
        <v/>
      </c>
      <c r="C178" s="8"/>
      <c r="D178" s="8"/>
      <c r="I178" s="8"/>
      <c r="J178" s="8"/>
    </row>
    <row r="179">
      <c r="A179" s="8"/>
      <c r="B179" s="8" t="str">
        <f>IF(ISBLANK(A179),"",VLOOKUP(A179,DOI_URL!$B$1:$C$74,2,FALSE()))</f>
        <v/>
      </c>
      <c r="C179" s="8"/>
      <c r="D179" s="8"/>
      <c r="I179" s="8"/>
      <c r="J179" s="8"/>
    </row>
    <row r="180">
      <c r="A180" s="8"/>
      <c r="B180" s="8" t="str">
        <f>IF(ISBLANK(A180),"",VLOOKUP(A180,DOI_URL!$B$1:$C$74,2,FALSE()))</f>
        <v/>
      </c>
      <c r="C180" s="8"/>
      <c r="D180" s="8"/>
      <c r="I180" s="8"/>
      <c r="J180" s="8"/>
    </row>
    <row r="181">
      <c r="A181" s="8"/>
      <c r="B181" s="8" t="str">
        <f>IF(ISBLANK(A181),"",VLOOKUP(A181,DOI_URL!$B$1:$C$74,2,FALSE()))</f>
        <v/>
      </c>
      <c r="C181" s="8"/>
      <c r="D181" s="8"/>
      <c r="I181" s="8"/>
      <c r="J181" s="8"/>
    </row>
    <row r="182">
      <c r="A182" s="8"/>
      <c r="B182" s="8" t="str">
        <f>IF(ISBLANK(A182),"",VLOOKUP(A182,DOI_URL!$B$1:$C$74,2,FALSE()))</f>
        <v/>
      </c>
      <c r="C182" s="8"/>
      <c r="D182" s="8"/>
      <c r="I182" s="8"/>
      <c r="J182" s="8"/>
    </row>
    <row r="183">
      <c r="A183" s="8"/>
      <c r="B183" s="8" t="str">
        <f>IF(ISBLANK(A183),"",VLOOKUP(A183,DOI_URL!$B$1:$C$74,2,FALSE()))</f>
        <v/>
      </c>
      <c r="C183" s="8"/>
      <c r="D183" s="8"/>
      <c r="I183" s="8"/>
      <c r="J183" s="8"/>
    </row>
    <row r="184">
      <c r="A184" s="8"/>
      <c r="B184" s="8" t="str">
        <f>IF(ISBLANK(A184),"",VLOOKUP(A184,DOI_URL!$B$1:$C$74,2,FALSE()))</f>
        <v/>
      </c>
      <c r="C184" s="8"/>
      <c r="D184" s="8"/>
      <c r="I184" s="8"/>
      <c r="J184" s="8"/>
    </row>
    <row r="185">
      <c r="A185" s="8"/>
      <c r="B185" s="8" t="str">
        <f>IF(ISBLANK(A185),"",VLOOKUP(A185,DOI_URL!$B$1:$C$74,2,FALSE()))</f>
        <v/>
      </c>
      <c r="C185" s="8"/>
      <c r="D185" s="8"/>
      <c r="I185" s="8"/>
      <c r="J185" s="8"/>
    </row>
    <row r="186">
      <c r="A186" s="8"/>
      <c r="B186" s="8" t="str">
        <f>IF(ISBLANK(A186),"",VLOOKUP(A186,DOI_URL!$B$1:$C$74,2,FALSE()))</f>
        <v/>
      </c>
      <c r="C186" s="8"/>
      <c r="D186" s="8"/>
      <c r="I186" s="8"/>
      <c r="J186" s="8"/>
    </row>
    <row r="187">
      <c r="A187" s="8"/>
      <c r="B187" s="8" t="str">
        <f>IF(ISBLANK(A187),"",VLOOKUP(A187,DOI_URL!$B$1:$C$74,2,FALSE()))</f>
        <v/>
      </c>
      <c r="C187" s="8"/>
      <c r="D187" s="8"/>
      <c r="I187" s="8"/>
      <c r="J187" s="8"/>
    </row>
    <row r="188">
      <c r="A188" s="8"/>
      <c r="B188" s="8" t="str">
        <f>IF(ISBLANK(A188),"",VLOOKUP(A188,DOI_URL!$B$1:$C$74,2,FALSE()))</f>
        <v/>
      </c>
      <c r="C188" s="8"/>
      <c r="D188" s="8"/>
      <c r="I188" s="8"/>
      <c r="J188" s="8"/>
    </row>
    <row r="189">
      <c r="A189" s="8"/>
      <c r="B189" s="8" t="str">
        <f>IF(ISBLANK(A189),"",VLOOKUP(A189,DOI_URL!$B$1:$C$74,2,FALSE()))</f>
        <v/>
      </c>
      <c r="C189" s="8"/>
      <c r="D189" s="8"/>
      <c r="I189" s="8"/>
      <c r="J189" s="8"/>
    </row>
    <row r="190">
      <c r="A190" s="8"/>
      <c r="B190" s="8" t="str">
        <f>IF(ISBLANK(A190),"",VLOOKUP(A190,DOI_URL!$B$1:$C$74,2,FALSE()))</f>
        <v/>
      </c>
      <c r="C190" s="8"/>
      <c r="D190" s="8"/>
      <c r="I190" s="8"/>
      <c r="J190" s="8"/>
    </row>
    <row r="191">
      <c r="A191" s="8"/>
      <c r="B191" s="8" t="str">
        <f>IF(ISBLANK(A191),"",VLOOKUP(A191,DOI_URL!$B$1:$C$74,2,FALSE()))</f>
        <v/>
      </c>
      <c r="C191" s="8"/>
      <c r="D191" s="8"/>
      <c r="I191" s="8"/>
      <c r="J191" s="8"/>
    </row>
    <row r="192">
      <c r="A192" s="8"/>
      <c r="B192" s="8" t="str">
        <f>IF(ISBLANK(A192),"",VLOOKUP(A192,DOI_URL!$B$1:$C$74,2,FALSE()))</f>
        <v/>
      </c>
      <c r="C192" s="8"/>
      <c r="D192" s="8"/>
      <c r="I192" s="8"/>
      <c r="J192" s="8"/>
    </row>
    <row r="193">
      <c r="A193" s="8"/>
      <c r="B193" s="8" t="str">
        <f>IF(ISBLANK(A193),"",VLOOKUP(A193,DOI_URL!$B$1:$C$74,2,FALSE()))</f>
        <v/>
      </c>
      <c r="C193" s="8"/>
      <c r="D193" s="8"/>
      <c r="I193" s="8"/>
      <c r="J193" s="8"/>
    </row>
    <row r="194">
      <c r="A194" s="8"/>
      <c r="B194" s="8" t="str">
        <f>IF(ISBLANK(A194),"",VLOOKUP(A194,DOI_URL!$B$1:$C$74,2,FALSE()))</f>
        <v/>
      </c>
      <c r="C194" s="8"/>
      <c r="D194" s="8"/>
      <c r="I194" s="8"/>
      <c r="J194" s="8"/>
    </row>
    <row r="195">
      <c r="A195" s="8"/>
      <c r="B195" s="8" t="str">
        <f>IF(ISBLANK(A195),"",VLOOKUP(A195,DOI_URL!$B$1:$C$74,2,FALSE()))</f>
        <v/>
      </c>
      <c r="C195" s="8"/>
      <c r="D195" s="8"/>
      <c r="I195" s="8"/>
      <c r="J195" s="8"/>
    </row>
    <row r="196">
      <c r="A196" s="8"/>
      <c r="B196" s="8" t="str">
        <f>IF(ISBLANK(A196),"",VLOOKUP(A196,DOI_URL!$B$1:$C$74,2,FALSE()))</f>
        <v/>
      </c>
      <c r="C196" s="8"/>
      <c r="D196" s="8"/>
      <c r="I196" s="8"/>
      <c r="J196" s="8"/>
    </row>
    <row r="197">
      <c r="A197" s="8"/>
      <c r="B197" s="8" t="str">
        <f>IF(ISBLANK(A197),"",VLOOKUP(A197,DOI_URL!$B$1:$C$74,2,FALSE()))</f>
        <v/>
      </c>
      <c r="C197" s="8"/>
      <c r="D197" s="8"/>
      <c r="I197" s="8"/>
      <c r="J197" s="8"/>
    </row>
    <row r="198">
      <c r="A198" s="8"/>
      <c r="B198" s="8" t="str">
        <f>IF(ISBLANK(A198),"",VLOOKUP(A198,DOI_URL!$B$1:$C$74,2,FALSE()))</f>
        <v/>
      </c>
      <c r="C198" s="8"/>
      <c r="D198" s="8"/>
      <c r="I198" s="8"/>
      <c r="J198" s="8"/>
    </row>
    <row r="199">
      <c r="A199" s="8"/>
      <c r="B199" s="8" t="str">
        <f>IF(ISBLANK(A199),"",VLOOKUP(A199,DOI_URL!$B$1:$C$74,2,FALSE()))</f>
        <v/>
      </c>
      <c r="C199" s="8"/>
      <c r="D199" s="8"/>
      <c r="I199" s="8"/>
      <c r="J199" s="8"/>
    </row>
    <row r="200">
      <c r="A200" s="8"/>
      <c r="B200" s="8" t="str">
        <f>IF(ISBLANK(A200),"",VLOOKUP(A200,DOI_URL!$B$1:$C$74,2,FALSE()))</f>
        <v/>
      </c>
      <c r="C200" s="8"/>
      <c r="D200" s="8"/>
      <c r="I200" s="8"/>
      <c r="J200" s="8"/>
    </row>
    <row r="201">
      <c r="A201" s="8"/>
      <c r="B201" s="8" t="str">
        <f>IF(ISBLANK(A201),"",VLOOKUP(A201,DOI_URL!$B$1:$C$74,2,FALSE()))</f>
        <v/>
      </c>
      <c r="C201" s="8"/>
      <c r="D201" s="8"/>
      <c r="I201" s="8"/>
      <c r="J201" s="8"/>
    </row>
    <row r="202">
      <c r="A202" s="8"/>
      <c r="B202" s="8" t="str">
        <f>IF(ISBLANK(A202),"",VLOOKUP(A202,DOI_URL!$B$1:$C$74,2,FALSE()))</f>
        <v/>
      </c>
      <c r="C202" s="8"/>
      <c r="D202" s="8"/>
      <c r="I202" s="8"/>
      <c r="J202" s="8"/>
    </row>
    <row r="203">
      <c r="A203" s="8"/>
      <c r="B203" s="8" t="str">
        <f>IF(ISBLANK(A203),"",VLOOKUP(A203,DOI_URL!$B$1:$C$74,2,FALSE()))</f>
        <v/>
      </c>
      <c r="C203" s="8"/>
      <c r="D203" s="8"/>
      <c r="I203" s="8"/>
      <c r="J203" s="8"/>
    </row>
    <row r="204">
      <c r="A204" s="8"/>
      <c r="B204" s="8" t="str">
        <f>IF(ISBLANK(A204),"",VLOOKUP(A204,DOI_URL!$B$1:$C$74,2,FALSE()))</f>
        <v/>
      </c>
      <c r="C204" s="8"/>
      <c r="D204" s="8"/>
      <c r="I204" s="8"/>
      <c r="J204" s="8"/>
    </row>
    <row r="205">
      <c r="A205" s="8"/>
      <c r="B205" s="8" t="str">
        <f>IF(ISBLANK(A205),"",VLOOKUP(A205,DOI_URL!$B$1:$C$74,2,FALSE()))</f>
        <v/>
      </c>
      <c r="C205" s="8"/>
      <c r="D205" s="8"/>
      <c r="I205" s="8"/>
      <c r="J205" s="8"/>
    </row>
    <row r="206">
      <c r="A206" s="8"/>
      <c r="B206" s="8" t="str">
        <f>IF(ISBLANK(A206),"",VLOOKUP(A206,DOI_URL!$B$1:$C$74,2,FALSE()))</f>
        <v/>
      </c>
      <c r="C206" s="8"/>
      <c r="D206" s="8"/>
      <c r="I206" s="8"/>
      <c r="J206" s="8"/>
    </row>
    <row r="207">
      <c r="A207" s="8"/>
      <c r="B207" s="8" t="str">
        <f>IF(ISBLANK(A207),"",VLOOKUP(A207,DOI_URL!$B$1:$C$74,2,FALSE()))</f>
        <v/>
      </c>
      <c r="C207" s="8"/>
      <c r="D207" s="8"/>
      <c r="I207" s="8"/>
      <c r="J207" s="8"/>
    </row>
    <row r="208">
      <c r="A208" s="8"/>
      <c r="B208" s="8" t="str">
        <f>IF(ISBLANK(A208),"",VLOOKUP(A208,DOI_URL!$B$1:$C$74,2,FALSE()))</f>
        <v/>
      </c>
      <c r="C208" s="8"/>
      <c r="D208" s="8"/>
      <c r="I208" s="8"/>
      <c r="J208" s="8"/>
    </row>
    <row r="209">
      <c r="A209" s="8"/>
      <c r="B209" s="8" t="str">
        <f>IF(ISBLANK(A209),"",VLOOKUP(A209,DOI_URL!$B$1:$C$74,2,FALSE()))</f>
        <v/>
      </c>
      <c r="C209" s="8"/>
      <c r="D209" s="8"/>
      <c r="I209" s="8"/>
      <c r="J209" s="8"/>
    </row>
    <row r="210">
      <c r="A210" s="8"/>
      <c r="B210" s="8" t="str">
        <f>IF(ISBLANK(A210),"",VLOOKUP(A210,DOI_URL!$B$1:$C$74,2,FALSE()))</f>
        <v/>
      </c>
      <c r="C210" s="8"/>
      <c r="D210" s="8"/>
      <c r="I210" s="8"/>
      <c r="J210" s="8"/>
    </row>
    <row r="211">
      <c r="A211" s="8"/>
      <c r="B211" s="8" t="str">
        <f>IF(ISBLANK(A211),"",VLOOKUP(A211,DOI_URL!$B$1:$C$74,2,FALSE()))</f>
        <v/>
      </c>
      <c r="C211" s="8"/>
      <c r="D211" s="8"/>
      <c r="I211" s="8"/>
      <c r="J211" s="8"/>
    </row>
    <row r="212">
      <c r="A212" s="8"/>
      <c r="B212" s="8" t="str">
        <f>IF(ISBLANK(A212),"",VLOOKUP(A212,DOI_URL!$B$1:$C$74,2,FALSE()))</f>
        <v/>
      </c>
      <c r="C212" s="8"/>
      <c r="D212" s="8"/>
      <c r="I212" s="8"/>
      <c r="J212" s="8"/>
    </row>
    <row r="213">
      <c r="A213" s="8"/>
      <c r="B213" s="8" t="str">
        <f>IF(ISBLANK(A213),"",VLOOKUP(A213,DOI_URL!$B$1:$C$74,2,FALSE()))</f>
        <v/>
      </c>
      <c r="C213" s="8"/>
      <c r="D213" s="8"/>
      <c r="I213" s="8"/>
      <c r="J213" s="8"/>
    </row>
    <row r="214">
      <c r="A214" s="8"/>
      <c r="B214" s="8" t="str">
        <f>IF(ISBLANK(A214),"",VLOOKUP(A214,DOI_URL!$B$1:$C$74,2,FALSE()))</f>
        <v/>
      </c>
      <c r="C214" s="8"/>
      <c r="D214" s="8"/>
      <c r="I214" s="8"/>
      <c r="J214" s="8"/>
    </row>
    <row r="215">
      <c r="A215" s="8"/>
      <c r="B215" s="8" t="str">
        <f>IF(ISBLANK(A215),"",VLOOKUP(A215,DOI_URL!$B$1:$C$74,2,FALSE()))</f>
        <v/>
      </c>
      <c r="C215" s="8"/>
      <c r="D215" s="8"/>
      <c r="I215" s="8"/>
      <c r="J215" s="8"/>
    </row>
    <row r="216">
      <c r="A216" s="8"/>
      <c r="B216" s="8" t="str">
        <f>IF(ISBLANK(A216),"",VLOOKUP(A216,DOI_URL!$B$1:$C$74,2,FALSE()))</f>
        <v/>
      </c>
      <c r="C216" s="8"/>
      <c r="D216" s="8"/>
      <c r="I216" s="8"/>
      <c r="J216" s="8"/>
    </row>
    <row r="217">
      <c r="A217" s="8"/>
      <c r="B217" s="8" t="str">
        <f>IF(ISBLANK(A217),"",VLOOKUP(A217,DOI_URL!$B$1:$C$74,2,FALSE()))</f>
        <v/>
      </c>
      <c r="C217" s="8"/>
      <c r="D217" s="8"/>
      <c r="I217" s="8"/>
      <c r="J217" s="8"/>
    </row>
    <row r="218">
      <c r="A218" s="8"/>
      <c r="B218" s="8" t="str">
        <f>IF(ISBLANK(A218),"",VLOOKUP(A218,DOI_URL!$B$1:$C$74,2,FALSE()))</f>
        <v/>
      </c>
      <c r="C218" s="8"/>
      <c r="D218" s="8"/>
      <c r="I218" s="8"/>
      <c r="J218" s="8"/>
    </row>
    <row r="219">
      <c r="A219" s="8"/>
      <c r="B219" s="8" t="str">
        <f>IF(ISBLANK(A219),"",VLOOKUP(A219,DOI_URL!$B$1:$C$74,2,FALSE()))</f>
        <v/>
      </c>
      <c r="C219" s="8"/>
      <c r="D219" s="8"/>
      <c r="I219" s="8"/>
      <c r="J219" s="8"/>
    </row>
    <row r="220">
      <c r="A220" s="8"/>
      <c r="B220" s="8" t="str">
        <f>IF(ISBLANK(A220),"",VLOOKUP(A220,DOI_URL!$B$1:$C$74,2,FALSE()))</f>
        <v/>
      </c>
      <c r="C220" s="8"/>
      <c r="D220" s="8"/>
      <c r="I220" s="8"/>
      <c r="J220" s="8"/>
    </row>
    <row r="221">
      <c r="A221" s="8"/>
      <c r="B221" s="8" t="str">
        <f>IF(ISBLANK(A221),"",VLOOKUP(A221,DOI_URL!$B$1:$C$74,2,FALSE()))</f>
        <v/>
      </c>
      <c r="C221" s="8"/>
      <c r="D221" s="8"/>
      <c r="I221" s="8"/>
      <c r="J221" s="8"/>
    </row>
    <row r="222">
      <c r="A222" s="8"/>
      <c r="B222" s="8" t="str">
        <f>IF(ISBLANK(A222),"",VLOOKUP(A222,DOI_URL!$B$1:$C$74,2,FALSE()))</f>
        <v/>
      </c>
      <c r="C222" s="8"/>
      <c r="D222" s="8"/>
      <c r="I222" s="8"/>
      <c r="J222" s="8"/>
    </row>
    <row r="223">
      <c r="A223" s="8"/>
      <c r="B223" s="8" t="str">
        <f>IF(ISBLANK(A223),"",VLOOKUP(A223,DOI_URL!$B$1:$C$74,2,FALSE()))</f>
        <v/>
      </c>
      <c r="C223" s="8"/>
      <c r="D223" s="8"/>
      <c r="I223" s="8"/>
      <c r="J223" s="8"/>
    </row>
    <row r="224">
      <c r="A224" s="8"/>
      <c r="B224" s="8" t="str">
        <f>IF(ISBLANK(A224),"",VLOOKUP(A224,DOI_URL!$B$1:$C$74,2,FALSE()))</f>
        <v/>
      </c>
      <c r="C224" s="8"/>
      <c r="D224" s="8"/>
      <c r="I224" s="8"/>
      <c r="J224" s="8"/>
    </row>
    <row r="225">
      <c r="A225" s="8"/>
      <c r="B225" s="8" t="str">
        <f>IF(ISBLANK(A225),"",VLOOKUP(A225,DOI_URL!$B$1:$C$74,2,FALSE()))</f>
        <v/>
      </c>
      <c r="C225" s="8"/>
      <c r="D225" s="8"/>
      <c r="I225" s="8"/>
      <c r="J225" s="8"/>
    </row>
    <row r="226">
      <c r="A226" s="8"/>
      <c r="B226" s="8" t="str">
        <f>IF(ISBLANK(A226),"",VLOOKUP(A226,DOI_URL!$B$1:$C$74,2,FALSE()))</f>
        <v/>
      </c>
      <c r="C226" s="8"/>
      <c r="D226" s="8"/>
      <c r="I226" s="8"/>
      <c r="J226" s="8"/>
    </row>
    <row r="227">
      <c r="A227" s="8"/>
      <c r="B227" s="8" t="str">
        <f>IF(ISBLANK(A227),"",VLOOKUP(A227,DOI_URL!$B$1:$C$74,2,FALSE()))</f>
        <v/>
      </c>
      <c r="C227" s="8"/>
      <c r="D227" s="8"/>
      <c r="I227" s="8"/>
      <c r="J227" s="8"/>
    </row>
    <row r="228">
      <c r="A228" s="8"/>
      <c r="B228" s="8" t="str">
        <f>IF(ISBLANK(A228),"",VLOOKUP(A228,DOI_URL!$B$1:$C$74,2,FALSE()))</f>
        <v/>
      </c>
      <c r="C228" s="8"/>
      <c r="D228" s="8"/>
      <c r="I228" s="8"/>
      <c r="J228" s="8"/>
    </row>
    <row r="229">
      <c r="A229" s="8"/>
      <c r="B229" s="8" t="str">
        <f>IF(ISBLANK(A229),"",VLOOKUP(A229,DOI_URL!$B$1:$C$74,2,FALSE()))</f>
        <v/>
      </c>
      <c r="C229" s="8"/>
      <c r="D229" s="8"/>
      <c r="I229" s="8"/>
      <c r="J229" s="8"/>
    </row>
    <row r="230">
      <c r="A230" s="8"/>
      <c r="B230" s="8" t="str">
        <f>IF(ISBLANK(A230),"",VLOOKUP(A230,DOI_URL!$B$1:$C$74,2,FALSE()))</f>
        <v/>
      </c>
      <c r="C230" s="8"/>
      <c r="D230" s="8"/>
      <c r="I230" s="8"/>
      <c r="J230" s="8"/>
    </row>
    <row r="231">
      <c r="A231" s="8"/>
      <c r="B231" s="8" t="str">
        <f>IF(ISBLANK(A231),"",VLOOKUP(A231,DOI_URL!$B$1:$C$74,2,FALSE()))</f>
        <v/>
      </c>
      <c r="C231" s="8"/>
      <c r="D231" s="8"/>
      <c r="I231" s="8"/>
      <c r="J231" s="8"/>
    </row>
    <row r="232">
      <c r="A232" s="8"/>
      <c r="B232" s="8" t="str">
        <f>IF(ISBLANK(A232),"",VLOOKUP(A232,DOI_URL!$B$1:$C$74,2,FALSE()))</f>
        <v/>
      </c>
      <c r="C232" s="8"/>
      <c r="D232" s="8"/>
      <c r="I232" s="8"/>
      <c r="J232" s="8"/>
    </row>
    <row r="233">
      <c r="A233" s="8"/>
      <c r="B233" s="8" t="str">
        <f>IF(ISBLANK(A233),"",VLOOKUP(A233,DOI_URL!$B$1:$C$74,2,FALSE()))</f>
        <v/>
      </c>
      <c r="C233" s="8"/>
      <c r="D233" s="8"/>
      <c r="I233" s="8"/>
      <c r="J233" s="8"/>
    </row>
    <row r="234">
      <c r="A234" s="8"/>
      <c r="B234" s="8" t="str">
        <f>IF(ISBLANK(A234),"",VLOOKUP(A234,DOI_URL!$B$1:$C$74,2,FALSE()))</f>
        <v/>
      </c>
      <c r="C234" s="8"/>
      <c r="D234" s="8"/>
      <c r="I234" s="8"/>
      <c r="J234" s="8"/>
    </row>
    <row r="235">
      <c r="A235" s="8"/>
      <c r="B235" s="8" t="str">
        <f>IF(ISBLANK(A235),"",VLOOKUP(A235,DOI_URL!$B$1:$C$74,2,FALSE()))</f>
        <v/>
      </c>
      <c r="C235" s="8"/>
      <c r="D235" s="8"/>
      <c r="I235" s="8"/>
      <c r="J235" s="8"/>
    </row>
    <row r="236">
      <c r="A236" s="8"/>
      <c r="B236" s="8" t="str">
        <f>IF(ISBLANK(A236),"",VLOOKUP(A236,DOI_URL!$B$1:$C$74,2,FALSE()))</f>
        <v/>
      </c>
      <c r="C236" s="8"/>
      <c r="D236" s="8"/>
      <c r="I236" s="8"/>
      <c r="J236" s="8"/>
    </row>
    <row r="237">
      <c r="A237" s="8"/>
      <c r="B237" s="8" t="str">
        <f>IF(ISBLANK(A237),"",VLOOKUP(A237,DOI_URL!$B$1:$C$74,2,FALSE()))</f>
        <v/>
      </c>
      <c r="C237" s="8"/>
      <c r="D237" s="8"/>
      <c r="I237" s="8"/>
      <c r="J237" s="8"/>
    </row>
    <row r="238">
      <c r="A238" s="8"/>
      <c r="B238" s="8" t="str">
        <f>IF(ISBLANK(A238),"",VLOOKUP(A238,DOI_URL!$B$1:$C$74,2,FALSE()))</f>
        <v/>
      </c>
      <c r="C238" s="8"/>
      <c r="D238" s="8"/>
      <c r="I238" s="8"/>
      <c r="J238" s="8"/>
    </row>
    <row r="239">
      <c r="A239" s="8"/>
      <c r="B239" s="8" t="str">
        <f>IF(ISBLANK(A239),"",VLOOKUP(A239,DOI_URL!$B$1:$C$74,2,FALSE()))</f>
        <v/>
      </c>
      <c r="C239" s="8"/>
      <c r="D239" s="8"/>
      <c r="I239" s="8"/>
      <c r="J239" s="8"/>
    </row>
    <row r="240">
      <c r="A240" s="8"/>
      <c r="B240" s="8" t="str">
        <f>IF(ISBLANK(A240),"",VLOOKUP(A240,DOI_URL!$B$1:$C$74,2,FALSE()))</f>
        <v/>
      </c>
      <c r="C240" s="8"/>
      <c r="D240" s="8"/>
      <c r="I240" s="8"/>
      <c r="J240" s="8"/>
    </row>
    <row r="241">
      <c r="A241" s="8"/>
      <c r="B241" s="8" t="str">
        <f>IF(ISBLANK(A241),"",VLOOKUP(A241,DOI_URL!$B$1:$C$74,2,FALSE()))</f>
        <v/>
      </c>
      <c r="C241" s="8"/>
      <c r="D241" s="8"/>
      <c r="I241" s="8"/>
      <c r="J241" s="8"/>
    </row>
    <row r="242">
      <c r="A242" s="8"/>
      <c r="B242" s="8" t="str">
        <f>IF(ISBLANK(A242),"",VLOOKUP(A242,DOI_URL!$B$1:$C$74,2,FALSE()))</f>
        <v/>
      </c>
      <c r="C242" s="8"/>
      <c r="D242" s="8"/>
      <c r="I242" s="8"/>
      <c r="J242" s="8"/>
    </row>
    <row r="243">
      <c r="A243" s="8"/>
      <c r="B243" s="8" t="str">
        <f>IF(ISBLANK(A243),"",VLOOKUP(A243,DOI_URL!$B$1:$C$74,2,FALSE()))</f>
        <v/>
      </c>
      <c r="C243" s="8"/>
      <c r="D243" s="8"/>
      <c r="I243" s="8"/>
      <c r="J243" s="8"/>
    </row>
    <row r="244">
      <c r="A244" s="8"/>
      <c r="B244" s="8" t="str">
        <f>IF(ISBLANK(A244),"",VLOOKUP(A244,DOI_URL!$B$1:$C$74,2,FALSE()))</f>
        <v/>
      </c>
      <c r="C244" s="8"/>
      <c r="D244" s="8"/>
      <c r="I244" s="8"/>
      <c r="J244" s="8"/>
    </row>
    <row r="245">
      <c r="A245" s="8"/>
      <c r="B245" s="8" t="str">
        <f>IF(ISBLANK(A245),"",VLOOKUP(A245,DOI_URL!$B$1:$C$74,2,FALSE()))</f>
        <v/>
      </c>
      <c r="C245" s="8"/>
      <c r="D245" s="8"/>
      <c r="I245" s="8"/>
      <c r="J245" s="8"/>
    </row>
    <row r="246">
      <c r="A246" s="8"/>
      <c r="B246" s="8" t="str">
        <f>IF(ISBLANK(A246),"",VLOOKUP(A246,DOI_URL!$B$1:$C$74,2,FALSE()))</f>
        <v/>
      </c>
      <c r="C246" s="8"/>
      <c r="D246" s="8"/>
      <c r="I246" s="8"/>
      <c r="J246" s="8"/>
    </row>
    <row r="247">
      <c r="A247" s="8"/>
      <c r="B247" s="8" t="str">
        <f>IF(ISBLANK(A247),"",VLOOKUP(A247,DOI_URL!$B$1:$C$74,2,FALSE()))</f>
        <v/>
      </c>
      <c r="C247" s="8"/>
      <c r="D247" s="8"/>
      <c r="I247" s="8"/>
      <c r="J247" s="8"/>
    </row>
    <row r="248">
      <c r="A248" s="8"/>
      <c r="B248" s="8" t="str">
        <f>IF(ISBLANK(A248),"",VLOOKUP(A248,DOI_URL!$B$1:$C$74,2,FALSE()))</f>
        <v/>
      </c>
      <c r="C248" s="8"/>
      <c r="D248" s="8"/>
      <c r="I248" s="8"/>
      <c r="J248" s="8"/>
    </row>
    <row r="249">
      <c r="A249" s="8"/>
      <c r="B249" s="8" t="str">
        <f>IF(ISBLANK(A249),"",VLOOKUP(A249,DOI_URL!$B$1:$C$74,2,FALSE()))</f>
        <v/>
      </c>
      <c r="C249" s="8"/>
      <c r="D249" s="8"/>
      <c r="I249" s="8"/>
      <c r="J249" s="8"/>
    </row>
    <row r="250">
      <c r="A250" s="8"/>
      <c r="B250" s="8" t="str">
        <f>IF(ISBLANK(A250),"",VLOOKUP(A250,DOI_URL!$B$1:$C$74,2,FALSE()))</f>
        <v/>
      </c>
      <c r="C250" s="8"/>
      <c r="D250" s="8"/>
      <c r="I250" s="8"/>
      <c r="J250" s="8"/>
    </row>
    <row r="251">
      <c r="A251" s="8"/>
      <c r="B251" s="8" t="str">
        <f>IF(ISBLANK(A251),"",VLOOKUP(A251,DOI_URL!$B$1:$C$74,2,FALSE()))</f>
        <v/>
      </c>
      <c r="C251" s="8"/>
      <c r="D251" s="8"/>
      <c r="I251" s="8"/>
      <c r="J251" s="8"/>
    </row>
    <row r="252">
      <c r="A252" s="8"/>
      <c r="B252" s="8" t="str">
        <f>IF(ISBLANK(A252),"",VLOOKUP(A252,DOI_URL!$B$1:$C$74,2,FALSE()))</f>
        <v/>
      </c>
      <c r="C252" s="8"/>
      <c r="D252" s="8"/>
      <c r="I252" s="8"/>
      <c r="J252" s="8"/>
    </row>
    <row r="253">
      <c r="A253" s="8"/>
      <c r="B253" s="8" t="str">
        <f>IF(ISBLANK(A253),"",VLOOKUP(A253,DOI_URL!$B$1:$C$74,2,FALSE()))</f>
        <v/>
      </c>
      <c r="C253" s="8"/>
      <c r="D253" s="8"/>
      <c r="I253" s="8"/>
      <c r="J253" s="8"/>
    </row>
    <row r="254">
      <c r="A254" s="8"/>
      <c r="B254" s="8" t="str">
        <f>IF(ISBLANK(A254),"",VLOOKUP(A254,DOI_URL!$B$1:$C$74,2,FALSE()))</f>
        <v/>
      </c>
      <c r="C254" s="8"/>
      <c r="D254" s="8"/>
      <c r="I254" s="8"/>
      <c r="J254" s="8"/>
    </row>
    <row r="255">
      <c r="A255" s="8"/>
      <c r="B255" s="8" t="str">
        <f>IF(ISBLANK(A255),"",VLOOKUP(A255,DOI_URL!$B$1:$C$74,2,FALSE()))</f>
        <v/>
      </c>
      <c r="C255" s="8"/>
      <c r="D255" s="8"/>
      <c r="I255" s="8"/>
      <c r="J255" s="8"/>
    </row>
    <row r="256">
      <c r="A256" s="8"/>
      <c r="B256" s="8" t="str">
        <f>IF(ISBLANK(A256),"",VLOOKUP(A256,DOI_URL!$B$1:$C$74,2,FALSE()))</f>
        <v/>
      </c>
      <c r="C256" s="8"/>
      <c r="D256" s="8"/>
      <c r="I256" s="8"/>
      <c r="J256" s="8"/>
    </row>
    <row r="257">
      <c r="A257" s="8"/>
      <c r="B257" s="8" t="str">
        <f>IF(ISBLANK(A257),"",VLOOKUP(A257,DOI_URL!$B$1:$C$74,2,FALSE()))</f>
        <v/>
      </c>
      <c r="C257" s="8"/>
      <c r="D257" s="8"/>
      <c r="I257" s="8"/>
      <c r="J257" s="8"/>
    </row>
    <row r="258">
      <c r="A258" s="8"/>
      <c r="B258" s="8" t="str">
        <f>IF(ISBLANK(A258),"",VLOOKUP(A258,DOI_URL!$B$1:$C$74,2,FALSE()))</f>
        <v/>
      </c>
      <c r="C258" s="8"/>
      <c r="D258" s="8"/>
      <c r="I258" s="8"/>
      <c r="J258" s="8"/>
    </row>
    <row r="259">
      <c r="A259" s="8"/>
      <c r="B259" s="8" t="str">
        <f>IF(ISBLANK(A259),"",VLOOKUP(A259,DOI_URL!$B$1:$C$74,2,FALSE()))</f>
        <v/>
      </c>
      <c r="C259" s="8"/>
      <c r="D259" s="8"/>
      <c r="I259" s="8"/>
      <c r="J259" s="8"/>
    </row>
    <row r="260">
      <c r="A260" s="8"/>
      <c r="B260" s="8" t="str">
        <f>IF(ISBLANK(A260),"",VLOOKUP(A260,DOI_URL!$B$1:$C$74,2,FALSE()))</f>
        <v/>
      </c>
      <c r="C260" s="8"/>
      <c r="D260" s="8"/>
      <c r="I260" s="8"/>
      <c r="J260" s="8"/>
    </row>
    <row r="261">
      <c r="A261" s="8"/>
      <c r="B261" s="8" t="str">
        <f>IF(ISBLANK(A261),"",VLOOKUP(A261,DOI_URL!$B$1:$C$74,2,FALSE()))</f>
        <v/>
      </c>
      <c r="C261" s="8"/>
      <c r="D261" s="8"/>
      <c r="I261" s="8"/>
      <c r="J261" s="8"/>
    </row>
    <row r="262">
      <c r="A262" s="8"/>
      <c r="B262" s="8" t="str">
        <f>IF(ISBLANK(A262),"",VLOOKUP(A262,DOI_URL!$B$1:$C$74,2,FALSE()))</f>
        <v/>
      </c>
      <c r="C262" s="8"/>
      <c r="D262" s="8"/>
      <c r="I262" s="8"/>
      <c r="J262" s="8"/>
    </row>
    <row r="263">
      <c r="A263" s="8"/>
      <c r="B263" s="8" t="str">
        <f>IF(ISBLANK(A263),"",VLOOKUP(A263,DOI_URL!$B$1:$C$74,2,FALSE()))</f>
        <v/>
      </c>
      <c r="C263" s="8"/>
      <c r="D263" s="8"/>
      <c r="I263" s="8"/>
      <c r="J263" s="8"/>
    </row>
    <row r="264">
      <c r="A264" s="8"/>
      <c r="B264" s="8" t="str">
        <f>IF(ISBLANK(A264),"",VLOOKUP(A264,DOI_URL!$B$1:$C$74,2,FALSE()))</f>
        <v/>
      </c>
      <c r="C264" s="8"/>
      <c r="D264" s="8"/>
      <c r="I264" s="8"/>
      <c r="J264" s="8"/>
    </row>
    <row r="265">
      <c r="A265" s="8"/>
      <c r="B265" s="8" t="str">
        <f>IF(ISBLANK(A265),"",VLOOKUP(A265,DOI_URL!$B$1:$C$74,2,FALSE()))</f>
        <v/>
      </c>
      <c r="C265" s="8"/>
      <c r="D265" s="8"/>
      <c r="I265" s="8"/>
      <c r="J265" s="8"/>
    </row>
    <row r="266">
      <c r="A266" s="8"/>
      <c r="B266" s="8" t="str">
        <f>IF(ISBLANK(A266),"",VLOOKUP(A266,DOI_URL!$B$1:$C$74,2,FALSE()))</f>
        <v/>
      </c>
      <c r="C266" s="8"/>
      <c r="D266" s="8"/>
      <c r="I266" s="8"/>
      <c r="J266" s="8"/>
    </row>
    <row r="267">
      <c r="A267" s="8"/>
      <c r="B267" s="8" t="str">
        <f>IF(ISBLANK(A267),"",VLOOKUP(A267,DOI_URL!$B$1:$C$74,2,FALSE()))</f>
        <v/>
      </c>
      <c r="C267" s="8"/>
      <c r="D267" s="8"/>
      <c r="I267" s="8"/>
      <c r="J267" s="8"/>
    </row>
    <row r="268">
      <c r="A268" s="8"/>
      <c r="B268" s="8" t="str">
        <f>IF(ISBLANK(A268),"",VLOOKUP(A268,DOI_URL!$B$1:$C$74,2,FALSE()))</f>
        <v/>
      </c>
      <c r="C268" s="8"/>
      <c r="D268" s="8"/>
      <c r="I268" s="8"/>
      <c r="J268" s="8"/>
    </row>
    <row r="269">
      <c r="A269" s="8"/>
      <c r="B269" s="8" t="str">
        <f>IF(ISBLANK(A269),"",VLOOKUP(A269,DOI_URL!$B$1:$C$74,2,FALSE()))</f>
        <v/>
      </c>
      <c r="C269" s="8"/>
      <c r="D269" s="8"/>
      <c r="I269" s="8"/>
      <c r="J269" s="8"/>
    </row>
    <row r="270">
      <c r="A270" s="8"/>
      <c r="B270" s="8" t="str">
        <f>IF(ISBLANK(A270),"",VLOOKUP(A270,DOI_URL!$B$1:$C$74,2,FALSE()))</f>
        <v/>
      </c>
      <c r="C270" s="8"/>
      <c r="D270" s="8"/>
      <c r="I270" s="8"/>
      <c r="J270" s="8"/>
    </row>
    <row r="271">
      <c r="A271" s="8"/>
      <c r="B271" s="8" t="str">
        <f>IF(ISBLANK(A271),"",VLOOKUP(A271,DOI_URL!$B$1:$C$74,2,FALSE()))</f>
        <v/>
      </c>
      <c r="C271" s="8"/>
      <c r="D271" s="8"/>
      <c r="I271" s="8"/>
      <c r="J271" s="8"/>
    </row>
    <row r="272">
      <c r="A272" s="8"/>
      <c r="B272" s="8" t="str">
        <f>IF(ISBLANK(A272),"",VLOOKUP(A272,DOI_URL!$B$1:$C$74,2,FALSE()))</f>
        <v/>
      </c>
      <c r="C272" s="8"/>
      <c r="D272" s="8"/>
      <c r="I272" s="8"/>
      <c r="J272" s="8"/>
    </row>
    <row r="273">
      <c r="A273" s="8"/>
      <c r="B273" s="8" t="str">
        <f>IF(ISBLANK(A273),"",VLOOKUP(A273,DOI_URL!$B$1:$C$74,2,FALSE()))</f>
        <v/>
      </c>
      <c r="C273" s="8"/>
      <c r="D273" s="8"/>
      <c r="I273" s="8"/>
      <c r="J273" s="8"/>
    </row>
    <row r="274">
      <c r="A274" s="8"/>
      <c r="B274" s="8" t="str">
        <f>IF(ISBLANK(A274),"",VLOOKUP(A274,DOI_URL!$B$1:$C$74,2,FALSE()))</f>
        <v/>
      </c>
      <c r="C274" s="8"/>
      <c r="D274" s="8"/>
      <c r="I274" s="8"/>
      <c r="J274" s="8"/>
    </row>
    <row r="275">
      <c r="A275" s="8"/>
      <c r="B275" s="8" t="str">
        <f>IF(ISBLANK(A275),"",VLOOKUP(A275,DOI_URL!$B$1:$C$74,2,FALSE()))</f>
        <v/>
      </c>
      <c r="C275" s="8"/>
      <c r="D275" s="8"/>
      <c r="I275" s="8"/>
      <c r="J275" s="8"/>
    </row>
    <row r="276">
      <c r="A276" s="8"/>
      <c r="B276" s="8" t="str">
        <f>IF(ISBLANK(A276),"",VLOOKUP(A276,DOI_URL!$B$1:$C$74,2,FALSE()))</f>
        <v/>
      </c>
      <c r="C276" s="8"/>
      <c r="D276" s="8"/>
      <c r="I276" s="8"/>
      <c r="J276" s="8"/>
    </row>
    <row r="277">
      <c r="A277" s="8"/>
      <c r="B277" s="8" t="str">
        <f>IF(ISBLANK(A277),"",VLOOKUP(A277,DOI_URL!$B$1:$C$74,2,FALSE()))</f>
        <v/>
      </c>
      <c r="C277" s="8"/>
      <c r="D277" s="8"/>
      <c r="I277" s="8"/>
      <c r="J277" s="8"/>
    </row>
    <row r="278">
      <c r="A278" s="8"/>
      <c r="B278" s="8" t="str">
        <f>IF(ISBLANK(A278),"",VLOOKUP(A278,DOI_URL!$B$1:$C$74,2,FALSE()))</f>
        <v/>
      </c>
      <c r="C278" s="8"/>
      <c r="D278" s="8"/>
      <c r="I278" s="8"/>
      <c r="J278" s="8"/>
    </row>
    <row r="279">
      <c r="A279" s="8"/>
      <c r="B279" s="8" t="str">
        <f>IF(ISBLANK(A279),"",VLOOKUP(A279,DOI_URL!$B$1:$C$74,2,FALSE()))</f>
        <v/>
      </c>
      <c r="C279" s="8"/>
      <c r="D279" s="8"/>
      <c r="I279" s="8"/>
      <c r="J279" s="8"/>
    </row>
    <row r="280">
      <c r="A280" s="8"/>
      <c r="B280" s="8" t="str">
        <f>IF(ISBLANK(A280),"",VLOOKUP(A280,DOI_URL!$B$1:$C$74,2,FALSE()))</f>
        <v/>
      </c>
      <c r="C280" s="8"/>
      <c r="D280" s="8"/>
      <c r="I280" s="8"/>
      <c r="J280" s="8"/>
    </row>
    <row r="281">
      <c r="A281" s="8"/>
      <c r="B281" s="8" t="str">
        <f>IF(ISBLANK(A281),"",VLOOKUP(A281,DOI_URL!$B$1:$C$74,2,FALSE()))</f>
        <v/>
      </c>
      <c r="C281" s="8"/>
      <c r="D281" s="8"/>
      <c r="I281" s="8"/>
      <c r="J281" s="8"/>
    </row>
    <row r="282">
      <c r="A282" s="8"/>
      <c r="B282" s="8" t="str">
        <f>IF(ISBLANK(A282),"",VLOOKUP(A282,DOI_URL!$B$1:$C$74,2,FALSE()))</f>
        <v/>
      </c>
      <c r="C282" s="8"/>
      <c r="D282" s="8"/>
      <c r="I282" s="8"/>
      <c r="J282" s="8"/>
    </row>
    <row r="283">
      <c r="A283" s="8"/>
      <c r="B283" s="8" t="str">
        <f>IF(ISBLANK(A283),"",VLOOKUP(A283,DOI_URL!$B$1:$C$74,2,FALSE()))</f>
        <v/>
      </c>
      <c r="C283" s="8"/>
      <c r="D283" s="8"/>
      <c r="I283" s="8"/>
      <c r="J283" s="8"/>
    </row>
    <row r="284">
      <c r="A284" s="8"/>
      <c r="B284" s="8" t="str">
        <f>IF(ISBLANK(A284),"",VLOOKUP(A284,DOI_URL!$B$1:$C$74,2,FALSE()))</f>
        <v/>
      </c>
      <c r="C284" s="8"/>
      <c r="D284" s="8"/>
      <c r="I284" s="8"/>
      <c r="J284" s="8"/>
    </row>
    <row r="285">
      <c r="A285" s="8"/>
      <c r="B285" s="8" t="str">
        <f>IF(ISBLANK(A285),"",VLOOKUP(A285,DOI_URL!$B$1:$C$74,2,FALSE()))</f>
        <v/>
      </c>
      <c r="C285" s="8"/>
      <c r="D285" s="8"/>
      <c r="I285" s="8"/>
      <c r="J285" s="8"/>
    </row>
    <row r="286">
      <c r="A286" s="8"/>
      <c r="B286" s="8" t="str">
        <f>IF(ISBLANK(A286),"",VLOOKUP(A286,DOI_URL!$B$1:$C$74,2,FALSE()))</f>
        <v/>
      </c>
      <c r="C286" s="8"/>
      <c r="D286" s="8"/>
      <c r="I286" s="8"/>
      <c r="J286" s="8"/>
    </row>
    <row r="287">
      <c r="A287" s="8"/>
      <c r="B287" s="8" t="str">
        <f>IF(ISBLANK(A287),"",VLOOKUP(A287,DOI_URL!$B$1:$C$74,2,FALSE()))</f>
        <v/>
      </c>
      <c r="C287" s="8"/>
      <c r="D287" s="8"/>
      <c r="I287" s="8"/>
      <c r="J287" s="8"/>
    </row>
    <row r="288">
      <c r="A288" s="8"/>
      <c r="B288" s="8" t="str">
        <f>IF(ISBLANK(A288),"",VLOOKUP(A288,DOI_URL!$B$1:$C$74,2,FALSE()))</f>
        <v/>
      </c>
      <c r="C288" s="8"/>
      <c r="D288" s="8"/>
      <c r="I288" s="8"/>
      <c r="J288" s="8"/>
    </row>
    <row r="289">
      <c r="A289" s="8"/>
      <c r="B289" s="8" t="str">
        <f>IF(ISBLANK(A289),"",VLOOKUP(A289,DOI_URL!$B$1:$C$74,2,FALSE()))</f>
        <v/>
      </c>
      <c r="C289" s="8"/>
      <c r="D289" s="8"/>
      <c r="I289" s="8"/>
      <c r="J289" s="8"/>
    </row>
    <row r="290">
      <c r="A290" s="8"/>
      <c r="B290" s="8" t="str">
        <f>IF(ISBLANK(A290),"",VLOOKUP(A290,DOI_URL!$B$1:$C$74,2,FALSE()))</f>
        <v/>
      </c>
      <c r="C290" s="8"/>
      <c r="D290" s="8"/>
      <c r="I290" s="8"/>
      <c r="J290" s="8"/>
    </row>
    <row r="291">
      <c r="A291" s="8"/>
      <c r="B291" s="8" t="str">
        <f>IF(ISBLANK(A291),"",VLOOKUP(A291,DOI_URL!$B$1:$C$74,2,FALSE()))</f>
        <v/>
      </c>
      <c r="C291" s="8"/>
      <c r="D291" s="8"/>
      <c r="I291" s="8"/>
      <c r="J291" s="8"/>
    </row>
    <row r="292">
      <c r="A292" s="8"/>
      <c r="B292" s="8" t="str">
        <f>IF(ISBLANK(A292),"",VLOOKUP(A292,DOI_URL!$B$1:$C$74,2,FALSE()))</f>
        <v/>
      </c>
      <c r="C292" s="8"/>
      <c r="D292" s="8"/>
      <c r="I292" s="8"/>
      <c r="J292" s="8"/>
    </row>
    <row r="293">
      <c r="A293" s="8"/>
      <c r="B293" s="8" t="str">
        <f>IF(ISBLANK(A293),"",VLOOKUP(A293,DOI_URL!$B$1:$C$74,2,FALSE()))</f>
        <v/>
      </c>
      <c r="C293" s="8"/>
      <c r="D293" s="8"/>
      <c r="I293" s="8"/>
      <c r="J293" s="8"/>
    </row>
    <row r="294">
      <c r="A294" s="8"/>
      <c r="B294" s="8" t="str">
        <f>IF(ISBLANK(A294),"",VLOOKUP(A294,DOI_URL!$B$1:$C$74,2,FALSE()))</f>
        <v/>
      </c>
      <c r="C294" s="8"/>
      <c r="D294" s="8"/>
      <c r="I294" s="8"/>
      <c r="J294" s="8"/>
    </row>
    <row r="295">
      <c r="A295" s="8"/>
      <c r="B295" s="8" t="str">
        <f>IF(ISBLANK(A295),"",VLOOKUP(A295,DOI_URL!$B$1:$C$74,2,FALSE()))</f>
        <v/>
      </c>
      <c r="C295" s="8"/>
      <c r="D295" s="8"/>
      <c r="I295" s="8"/>
      <c r="J295" s="8"/>
    </row>
    <row r="296">
      <c r="A296" s="8"/>
      <c r="B296" s="8" t="str">
        <f>IF(ISBLANK(A296),"",VLOOKUP(A296,DOI_URL!$B$1:$C$74,2,FALSE()))</f>
        <v/>
      </c>
      <c r="C296" s="8"/>
      <c r="D296" s="8"/>
      <c r="I296" s="8"/>
      <c r="J296" s="8"/>
    </row>
    <row r="297">
      <c r="A297" s="8"/>
      <c r="B297" s="8" t="str">
        <f>IF(ISBLANK(A297),"",VLOOKUP(A297,DOI_URL!$B$1:$C$74,2,FALSE()))</f>
        <v/>
      </c>
      <c r="C297" s="8"/>
      <c r="D297" s="8"/>
      <c r="I297" s="8"/>
      <c r="J297" s="8"/>
    </row>
    <row r="298">
      <c r="A298" s="8"/>
      <c r="B298" s="8" t="str">
        <f>IF(ISBLANK(A298),"",VLOOKUP(A298,DOI_URL!$B$1:$C$74,2,FALSE()))</f>
        <v/>
      </c>
      <c r="C298" s="8"/>
      <c r="D298" s="8"/>
      <c r="I298" s="8"/>
      <c r="J298" s="8"/>
    </row>
    <row r="299">
      <c r="A299" s="8"/>
      <c r="B299" s="8" t="str">
        <f>IF(ISBLANK(A299),"",VLOOKUP(A299,DOI_URL!$B$1:$C$74,2,FALSE()))</f>
        <v/>
      </c>
      <c r="C299" s="8"/>
      <c r="D299" s="8"/>
      <c r="I299" s="8"/>
      <c r="J299" s="8"/>
    </row>
    <row r="300">
      <c r="A300" s="8"/>
      <c r="B300" s="8" t="str">
        <f>IF(ISBLANK(A300),"",VLOOKUP(A300,DOI_URL!$B$1:$C$74,2,FALSE()))</f>
        <v/>
      </c>
      <c r="C300" s="8"/>
      <c r="D300" s="8"/>
      <c r="I300" s="8"/>
      <c r="J300" s="8"/>
    </row>
    <row r="301">
      <c r="A301" s="8"/>
      <c r="B301" s="8" t="str">
        <f>IF(ISBLANK(A301),"",VLOOKUP(A301,DOI_URL!$B$1:$C$74,2,FALSE()))</f>
        <v/>
      </c>
      <c r="C301" s="8"/>
      <c r="D301" s="8"/>
      <c r="I301" s="8"/>
      <c r="J301" s="8"/>
    </row>
    <row r="302">
      <c r="A302" s="8"/>
      <c r="B302" s="8" t="str">
        <f>IF(ISBLANK(A302),"",VLOOKUP(A302,DOI_URL!$B$1:$C$74,2,FALSE()))</f>
        <v/>
      </c>
      <c r="C302" s="8"/>
      <c r="D302" s="8"/>
      <c r="I302" s="8"/>
      <c r="J302" s="8"/>
    </row>
    <row r="303">
      <c r="A303" s="8"/>
      <c r="B303" s="8" t="str">
        <f>IF(ISBLANK(A303),"",VLOOKUP(A303,DOI_URL!$B$1:$C$74,2,FALSE()))</f>
        <v/>
      </c>
      <c r="C303" s="8"/>
      <c r="D303" s="8"/>
      <c r="I303" s="8"/>
      <c r="J303" s="8"/>
    </row>
    <row r="304">
      <c r="A304" s="8"/>
      <c r="B304" s="8" t="str">
        <f>IF(ISBLANK(A304),"",VLOOKUP(A304,DOI_URL!$B$1:$C$74,2,FALSE()))</f>
        <v/>
      </c>
      <c r="C304" s="8"/>
      <c r="D304" s="8"/>
      <c r="I304" s="8"/>
      <c r="J304" s="8"/>
    </row>
    <row r="305">
      <c r="A305" s="8"/>
      <c r="B305" s="8" t="str">
        <f>IF(ISBLANK(A305),"",VLOOKUP(A305,DOI_URL!$B$1:$C$74,2,FALSE()))</f>
        <v/>
      </c>
      <c r="C305" s="8"/>
      <c r="D305" s="8"/>
      <c r="I305" s="8"/>
      <c r="J305" s="8"/>
    </row>
    <row r="306">
      <c r="A306" s="8"/>
      <c r="B306" s="8" t="str">
        <f>IF(ISBLANK(A306),"",VLOOKUP(A306,DOI_URL!$B$1:$C$74,2,FALSE()))</f>
        <v/>
      </c>
      <c r="C306" s="8"/>
      <c r="D306" s="8"/>
      <c r="I306" s="8"/>
      <c r="J306" s="8"/>
    </row>
    <row r="307">
      <c r="A307" s="8"/>
      <c r="B307" s="8" t="str">
        <f>IF(ISBLANK(A307),"",VLOOKUP(A307,DOI_URL!$B$1:$C$74,2,FALSE()))</f>
        <v/>
      </c>
      <c r="C307" s="8"/>
      <c r="D307" s="8"/>
      <c r="I307" s="8"/>
      <c r="J307" s="8"/>
    </row>
    <row r="308">
      <c r="A308" s="8"/>
      <c r="B308" s="8" t="str">
        <f>IF(ISBLANK(A308),"",VLOOKUP(A308,DOI_URL!$B$1:$C$74,2,FALSE()))</f>
        <v/>
      </c>
      <c r="C308" s="8"/>
      <c r="D308" s="8"/>
      <c r="I308" s="8"/>
      <c r="J308" s="8"/>
    </row>
    <row r="309">
      <c r="A309" s="8"/>
      <c r="B309" s="8" t="str">
        <f>IF(ISBLANK(A309),"",VLOOKUP(A309,DOI_URL!$B$1:$C$74,2,FALSE()))</f>
        <v/>
      </c>
      <c r="C309" s="8"/>
      <c r="D309" s="8"/>
      <c r="I309" s="8"/>
      <c r="J309" s="8"/>
    </row>
    <row r="310">
      <c r="A310" s="8"/>
      <c r="B310" s="8" t="str">
        <f>IF(ISBLANK(A310),"",VLOOKUP(A310,DOI_URL!$B$1:$C$74,2,FALSE()))</f>
        <v/>
      </c>
      <c r="C310" s="8"/>
      <c r="D310" s="8"/>
      <c r="I310" s="8"/>
      <c r="J310" s="8"/>
    </row>
    <row r="311">
      <c r="A311" s="8"/>
      <c r="B311" s="8" t="str">
        <f>IF(ISBLANK(A311),"",VLOOKUP(A311,DOI_URL!$B$1:$C$74,2,FALSE()))</f>
        <v/>
      </c>
      <c r="C311" s="8"/>
      <c r="D311" s="8"/>
      <c r="I311" s="8"/>
      <c r="J311" s="8"/>
    </row>
    <row r="312">
      <c r="A312" s="8"/>
      <c r="B312" s="8" t="str">
        <f>IF(ISBLANK(A312),"",VLOOKUP(A312,DOI_URL!$B$1:$C$74,2,FALSE()))</f>
        <v/>
      </c>
      <c r="C312" s="8"/>
      <c r="D312" s="8"/>
      <c r="I312" s="8"/>
      <c r="J312" s="8"/>
    </row>
    <row r="313">
      <c r="A313" s="8"/>
      <c r="B313" s="8" t="str">
        <f>IF(ISBLANK(A313),"",VLOOKUP(A313,DOI_URL!$B$1:$C$74,2,FALSE()))</f>
        <v/>
      </c>
      <c r="C313" s="8"/>
      <c r="D313" s="8"/>
      <c r="I313" s="8"/>
      <c r="J313" s="8"/>
    </row>
    <row r="314">
      <c r="A314" s="8"/>
      <c r="B314" s="8" t="str">
        <f>IF(ISBLANK(A314),"",VLOOKUP(A314,DOI_URL!$B$1:$C$74,2,FALSE()))</f>
        <v/>
      </c>
      <c r="C314" s="8"/>
      <c r="D314" s="8"/>
      <c r="I314" s="8"/>
      <c r="J314" s="8"/>
    </row>
    <row r="315">
      <c r="A315" s="8"/>
      <c r="B315" s="8" t="str">
        <f>IF(ISBLANK(A315),"",VLOOKUP(A315,DOI_URL!$B$1:$C$74,2,FALSE()))</f>
        <v/>
      </c>
      <c r="C315" s="8"/>
      <c r="D315" s="8"/>
      <c r="I315" s="8"/>
      <c r="J315" s="8"/>
    </row>
    <row r="316">
      <c r="A316" s="8"/>
      <c r="B316" s="8" t="str">
        <f>IF(ISBLANK(A316),"",VLOOKUP(A316,DOI_URL!$B$1:$C$74,2,FALSE()))</f>
        <v/>
      </c>
      <c r="C316" s="8"/>
      <c r="D316" s="8"/>
      <c r="I316" s="8"/>
      <c r="J316" s="8"/>
    </row>
    <row r="317">
      <c r="A317" s="8"/>
      <c r="B317" s="8" t="str">
        <f>IF(ISBLANK(A317),"",VLOOKUP(A317,DOI_URL!$B$1:$C$74,2,FALSE()))</f>
        <v/>
      </c>
      <c r="C317" s="8"/>
      <c r="D317" s="8"/>
      <c r="I317" s="8"/>
      <c r="J317" s="8"/>
    </row>
    <row r="318">
      <c r="A318" s="8"/>
      <c r="B318" s="8" t="str">
        <f>IF(ISBLANK(A318),"",VLOOKUP(A318,DOI_URL!$B$1:$C$74,2,FALSE()))</f>
        <v/>
      </c>
      <c r="C318" s="8"/>
      <c r="D318" s="8"/>
      <c r="I318" s="8"/>
      <c r="J318" s="8"/>
    </row>
    <row r="319">
      <c r="A319" s="8"/>
      <c r="B319" s="8" t="str">
        <f>IF(ISBLANK(A319),"",VLOOKUP(A319,DOI_URL!$B$1:$C$74,2,FALSE()))</f>
        <v/>
      </c>
      <c r="C319" s="8"/>
      <c r="D319" s="8"/>
      <c r="I319" s="8"/>
      <c r="J319" s="8"/>
    </row>
    <row r="320">
      <c r="A320" s="8"/>
      <c r="B320" s="8" t="str">
        <f>IF(ISBLANK(A320),"",VLOOKUP(A320,DOI_URL!$B$1:$C$74,2,FALSE()))</f>
        <v/>
      </c>
      <c r="C320" s="8"/>
      <c r="D320" s="8"/>
      <c r="I320" s="8"/>
      <c r="J320" s="8"/>
    </row>
    <row r="321">
      <c r="A321" s="8"/>
      <c r="B321" s="8" t="str">
        <f>IF(ISBLANK(A321),"",VLOOKUP(A321,DOI_URL!$B$1:$C$74,2,FALSE()))</f>
        <v/>
      </c>
      <c r="C321" s="8"/>
      <c r="D321" s="8"/>
      <c r="I321" s="8"/>
      <c r="J321" s="8"/>
    </row>
    <row r="322">
      <c r="A322" s="8"/>
      <c r="B322" s="8" t="str">
        <f>IF(ISBLANK(A322),"",VLOOKUP(A322,DOI_URL!$B$1:$C$74,2,FALSE()))</f>
        <v/>
      </c>
      <c r="C322" s="8"/>
      <c r="D322" s="8"/>
      <c r="I322" s="8"/>
      <c r="J322" s="8"/>
    </row>
    <row r="323">
      <c r="A323" s="8"/>
      <c r="B323" s="8" t="str">
        <f>IF(ISBLANK(A323),"",VLOOKUP(A323,DOI_URL!$B$1:$C$74,2,FALSE()))</f>
        <v/>
      </c>
      <c r="C323" s="8"/>
      <c r="D323" s="8"/>
      <c r="I323" s="8"/>
      <c r="J323" s="8"/>
    </row>
    <row r="324">
      <c r="A324" s="8"/>
      <c r="B324" s="8" t="str">
        <f>IF(ISBLANK(A324),"",VLOOKUP(A324,DOI_URL!$B$1:$C$74,2,FALSE()))</f>
        <v/>
      </c>
      <c r="C324" s="8"/>
      <c r="D324" s="8"/>
      <c r="I324" s="8"/>
      <c r="J324" s="8"/>
    </row>
    <row r="325">
      <c r="A325" s="8"/>
      <c r="B325" s="8" t="str">
        <f>IF(ISBLANK(A325),"",VLOOKUP(A325,DOI_URL!$B$1:$C$74,2,FALSE()))</f>
        <v/>
      </c>
      <c r="C325" s="8"/>
      <c r="D325" s="8"/>
      <c r="I325" s="8"/>
      <c r="J325" s="8"/>
    </row>
    <row r="326">
      <c r="A326" s="8"/>
      <c r="B326" s="8" t="str">
        <f>IF(ISBLANK(A326),"",VLOOKUP(A326,DOI_URL!$B$1:$C$74,2,FALSE()))</f>
        <v/>
      </c>
      <c r="C326" s="8"/>
      <c r="D326" s="8"/>
      <c r="I326" s="8"/>
      <c r="J326" s="8"/>
    </row>
    <row r="327">
      <c r="A327" s="8"/>
      <c r="B327" s="8" t="str">
        <f>IF(ISBLANK(A327),"",VLOOKUP(A327,DOI_URL!$B$1:$C$74,2,FALSE()))</f>
        <v/>
      </c>
      <c r="C327" s="8"/>
      <c r="D327" s="8"/>
      <c r="I327" s="8"/>
      <c r="J327" s="8"/>
    </row>
    <row r="328">
      <c r="A328" s="8"/>
      <c r="B328" s="8" t="str">
        <f>IF(ISBLANK(A328),"",VLOOKUP(A328,DOI_URL!$B$1:$C$74,2,FALSE()))</f>
        <v/>
      </c>
      <c r="C328" s="8"/>
      <c r="D328" s="8"/>
      <c r="I328" s="8"/>
      <c r="J328" s="8"/>
    </row>
    <row r="329">
      <c r="A329" s="8"/>
      <c r="B329" s="8" t="str">
        <f>IF(ISBLANK(A329),"",VLOOKUP(A329,DOI_URL!$B$1:$C$74,2,FALSE()))</f>
        <v/>
      </c>
      <c r="C329" s="8"/>
      <c r="D329" s="8"/>
      <c r="I329" s="8"/>
      <c r="J329" s="8"/>
    </row>
    <row r="330">
      <c r="A330" s="8"/>
      <c r="B330" s="8" t="str">
        <f>IF(ISBLANK(A330),"",VLOOKUP(A330,DOI_URL!$B$1:$C$74,2,FALSE()))</f>
        <v/>
      </c>
      <c r="C330" s="8"/>
      <c r="D330" s="8"/>
      <c r="I330" s="8"/>
      <c r="J330" s="8"/>
    </row>
    <row r="331">
      <c r="A331" s="8"/>
      <c r="B331" s="8" t="str">
        <f>IF(ISBLANK(A331),"",VLOOKUP(A331,DOI_URL!$B$1:$C$74,2,FALSE()))</f>
        <v/>
      </c>
      <c r="C331" s="8"/>
      <c r="D331" s="8"/>
      <c r="I331" s="8"/>
      <c r="J331" s="8"/>
    </row>
    <row r="332">
      <c r="A332" s="8"/>
      <c r="B332" s="8" t="str">
        <f>IF(ISBLANK(A332),"",VLOOKUP(A332,DOI_URL!$B$1:$C$74,2,FALSE()))</f>
        <v/>
      </c>
      <c r="C332" s="8"/>
      <c r="D332" s="8"/>
      <c r="I332" s="8"/>
      <c r="J332" s="8"/>
    </row>
    <row r="333">
      <c r="A333" s="8"/>
      <c r="B333" s="8" t="str">
        <f>IF(ISBLANK(A333),"",VLOOKUP(A333,DOI_URL!$B$1:$C$74,2,FALSE()))</f>
        <v/>
      </c>
      <c r="C333" s="8"/>
      <c r="D333" s="8"/>
      <c r="I333" s="8"/>
      <c r="J333" s="8"/>
    </row>
    <row r="334">
      <c r="A334" s="8"/>
      <c r="B334" s="8" t="str">
        <f>IF(ISBLANK(A334),"",VLOOKUP(A334,DOI_URL!$B$1:$C$74,2,FALSE()))</f>
        <v/>
      </c>
      <c r="C334" s="8"/>
      <c r="D334" s="8"/>
      <c r="I334" s="8"/>
      <c r="J334" s="8"/>
    </row>
    <row r="335">
      <c r="A335" s="8"/>
      <c r="B335" s="8" t="str">
        <f>IF(ISBLANK(A335),"",VLOOKUP(A335,DOI_URL!$B$1:$C$74,2,FALSE()))</f>
        <v/>
      </c>
      <c r="C335" s="8"/>
      <c r="D335" s="8"/>
      <c r="I335" s="8"/>
      <c r="J335" s="8"/>
    </row>
    <row r="336">
      <c r="A336" s="8"/>
      <c r="B336" s="8" t="str">
        <f>IF(ISBLANK(A336),"",VLOOKUP(A336,DOI_URL!$B$1:$C$74,2,FALSE()))</f>
        <v/>
      </c>
      <c r="C336" s="8"/>
      <c r="D336" s="8"/>
      <c r="I336" s="8"/>
      <c r="J336" s="8"/>
    </row>
    <row r="337">
      <c r="A337" s="8"/>
      <c r="B337" s="8" t="str">
        <f>IF(ISBLANK(A337),"",VLOOKUP(A337,DOI_URL!$B$1:$C$74,2,FALSE()))</f>
        <v/>
      </c>
      <c r="C337" s="8"/>
      <c r="D337" s="8"/>
      <c r="I337" s="8"/>
      <c r="J337" s="8"/>
    </row>
    <row r="338">
      <c r="A338" s="8"/>
      <c r="B338" s="8" t="str">
        <f>IF(ISBLANK(A338),"",VLOOKUP(A338,DOI_URL!$B$1:$C$74,2,FALSE()))</f>
        <v/>
      </c>
      <c r="C338" s="8"/>
      <c r="D338" s="8"/>
      <c r="I338" s="8"/>
      <c r="J338" s="8"/>
    </row>
    <row r="339">
      <c r="A339" s="8"/>
      <c r="B339" s="8" t="str">
        <f>IF(ISBLANK(A339),"",VLOOKUP(A339,DOI_URL!$B$1:$C$74,2,FALSE()))</f>
        <v/>
      </c>
      <c r="C339" s="8"/>
      <c r="D339" s="8"/>
      <c r="I339" s="8"/>
      <c r="J339" s="8"/>
    </row>
    <row r="340">
      <c r="A340" s="8"/>
      <c r="B340" s="8" t="str">
        <f>IF(ISBLANK(A340),"",VLOOKUP(A340,DOI_URL!$B$1:$C$74,2,FALSE()))</f>
        <v/>
      </c>
      <c r="C340" s="8"/>
      <c r="D340" s="8"/>
      <c r="I340" s="8"/>
      <c r="J340" s="8"/>
    </row>
    <row r="341">
      <c r="A341" s="8"/>
      <c r="B341" s="8" t="str">
        <f>IF(ISBLANK(A341),"",VLOOKUP(A341,DOI_URL!$B$1:$C$74,2,FALSE()))</f>
        <v/>
      </c>
      <c r="C341" s="8"/>
      <c r="D341" s="8"/>
      <c r="I341" s="8"/>
      <c r="J341" s="8"/>
    </row>
    <row r="342">
      <c r="A342" s="8"/>
      <c r="B342" s="8" t="str">
        <f>IF(ISBLANK(A342),"",VLOOKUP(A342,DOI_URL!$B$1:$C$74,2,FALSE()))</f>
        <v/>
      </c>
      <c r="C342" s="8"/>
      <c r="D342" s="8"/>
      <c r="I342" s="8"/>
      <c r="J342" s="8"/>
    </row>
    <row r="343">
      <c r="A343" s="8"/>
      <c r="B343" s="8" t="str">
        <f>IF(ISBLANK(A343),"",VLOOKUP(A343,DOI_URL!$B$1:$C$74,2,FALSE()))</f>
        <v/>
      </c>
      <c r="C343" s="8"/>
      <c r="D343" s="8"/>
      <c r="I343" s="8"/>
      <c r="J343" s="8"/>
    </row>
    <row r="344">
      <c r="A344" s="8"/>
      <c r="B344" s="8" t="str">
        <f>IF(ISBLANK(A344),"",VLOOKUP(A344,DOI_URL!$B$1:$C$74,2,FALSE()))</f>
        <v/>
      </c>
      <c r="C344" s="8"/>
      <c r="D344" s="8"/>
      <c r="I344" s="8"/>
      <c r="J344" s="8"/>
    </row>
    <row r="345">
      <c r="A345" s="8"/>
      <c r="B345" s="8" t="str">
        <f>IF(ISBLANK(A345),"",VLOOKUP(A345,DOI_URL!$B$1:$C$74,2,FALSE()))</f>
        <v/>
      </c>
      <c r="C345" s="8"/>
      <c r="D345" s="8"/>
      <c r="I345" s="8"/>
      <c r="J345" s="8"/>
    </row>
    <row r="346">
      <c r="A346" s="8"/>
      <c r="B346" s="8" t="str">
        <f>IF(ISBLANK(A346),"",VLOOKUP(A346,DOI_URL!$B$1:$C$74,2,FALSE()))</f>
        <v/>
      </c>
      <c r="C346" s="8"/>
      <c r="D346" s="8"/>
      <c r="I346" s="8"/>
      <c r="J346" s="8"/>
    </row>
    <row r="347">
      <c r="A347" s="8"/>
      <c r="B347" s="8" t="str">
        <f>IF(ISBLANK(A347),"",VLOOKUP(A347,DOI_URL!$B$1:$C$74,2,FALSE()))</f>
        <v/>
      </c>
      <c r="C347" s="8"/>
      <c r="D347" s="8"/>
      <c r="I347" s="8"/>
      <c r="J347" s="8"/>
    </row>
    <row r="348">
      <c r="A348" s="8"/>
      <c r="B348" s="8" t="str">
        <f>IF(ISBLANK(A348),"",VLOOKUP(A348,DOI_URL!$B$1:$C$74,2,FALSE()))</f>
        <v/>
      </c>
      <c r="C348" s="8"/>
      <c r="D348" s="8"/>
      <c r="I348" s="8"/>
      <c r="J348" s="8"/>
    </row>
    <row r="349">
      <c r="A349" s="8"/>
      <c r="B349" s="8" t="str">
        <f>IF(ISBLANK(A349),"",VLOOKUP(A349,DOI_URL!$B$1:$C$74,2,FALSE()))</f>
        <v/>
      </c>
      <c r="C349" s="8"/>
      <c r="D349" s="8"/>
      <c r="I349" s="8"/>
      <c r="J349" s="8"/>
    </row>
    <row r="350">
      <c r="A350" s="8"/>
      <c r="B350" s="8" t="str">
        <f>IF(ISBLANK(A350),"",VLOOKUP(A350,DOI_URL!$B$1:$C$74,2,FALSE()))</f>
        <v/>
      </c>
      <c r="C350" s="8"/>
      <c r="D350" s="8"/>
      <c r="I350" s="8"/>
      <c r="J350" s="8"/>
    </row>
    <row r="351">
      <c r="A351" s="8"/>
      <c r="B351" s="8" t="str">
        <f>IF(ISBLANK(A351),"",VLOOKUP(A351,DOI_URL!$B$1:$C$74,2,FALSE()))</f>
        <v/>
      </c>
      <c r="C351" s="8"/>
      <c r="D351" s="8"/>
      <c r="I351" s="8"/>
      <c r="J351" s="8"/>
    </row>
    <row r="352">
      <c r="A352" s="8"/>
      <c r="B352" s="8" t="str">
        <f>IF(ISBLANK(A352),"",VLOOKUP(A352,DOI_URL!$B$1:$C$74,2,FALSE()))</f>
        <v/>
      </c>
      <c r="C352" s="8"/>
      <c r="D352" s="8"/>
      <c r="I352" s="8"/>
      <c r="J352" s="8"/>
    </row>
    <row r="353">
      <c r="A353" s="8"/>
      <c r="B353" s="8" t="str">
        <f>IF(ISBLANK(A353),"",VLOOKUP(A353,DOI_URL!$B$1:$C$74,2,FALSE()))</f>
        <v/>
      </c>
      <c r="C353" s="8"/>
      <c r="D353" s="8"/>
      <c r="I353" s="8"/>
      <c r="J353" s="8"/>
    </row>
    <row r="354">
      <c r="A354" s="8"/>
      <c r="B354" s="8" t="str">
        <f>IF(ISBLANK(A354),"",VLOOKUP(A354,DOI_URL!$B$1:$C$74,2,FALSE()))</f>
        <v/>
      </c>
      <c r="C354" s="8"/>
      <c r="D354" s="8"/>
      <c r="I354" s="8"/>
      <c r="J354" s="8"/>
    </row>
    <row r="355">
      <c r="A355" s="8"/>
      <c r="B355" s="8" t="str">
        <f>IF(ISBLANK(A355),"",VLOOKUP(A355,DOI_URL!$B$1:$C$74,2,FALSE()))</f>
        <v/>
      </c>
      <c r="C355" s="8"/>
      <c r="D355" s="8"/>
      <c r="I355" s="8"/>
      <c r="J355" s="8"/>
    </row>
    <row r="356">
      <c r="A356" s="8"/>
      <c r="B356" s="8" t="str">
        <f>IF(ISBLANK(A356),"",VLOOKUP(A356,DOI_URL!$B$1:$C$74,2,FALSE()))</f>
        <v/>
      </c>
      <c r="C356" s="8"/>
      <c r="D356" s="8"/>
      <c r="I356" s="8"/>
      <c r="J356" s="8"/>
    </row>
    <row r="357">
      <c r="A357" s="8"/>
      <c r="B357" s="8" t="str">
        <f>IF(ISBLANK(A357),"",VLOOKUP(A357,DOI_URL!$B$1:$C$74,2,FALSE()))</f>
        <v/>
      </c>
      <c r="C357" s="8"/>
      <c r="D357" s="8"/>
      <c r="I357" s="8"/>
      <c r="J357" s="8"/>
    </row>
    <row r="358">
      <c r="A358" s="8"/>
      <c r="B358" s="8" t="str">
        <f>IF(ISBLANK(A358),"",VLOOKUP(A358,DOI_URL!$B$1:$C$74,2,FALSE()))</f>
        <v/>
      </c>
      <c r="C358" s="8"/>
      <c r="D358" s="8"/>
      <c r="I358" s="8"/>
      <c r="J358" s="8"/>
    </row>
    <row r="359">
      <c r="A359" s="8"/>
      <c r="B359" s="8" t="str">
        <f>IF(ISBLANK(A359),"",VLOOKUP(A359,DOI_URL!$B$1:$C$74,2,FALSE()))</f>
        <v/>
      </c>
      <c r="C359" s="8"/>
      <c r="D359" s="8"/>
      <c r="I359" s="8"/>
      <c r="J359" s="8"/>
    </row>
    <row r="360">
      <c r="A360" s="8"/>
      <c r="B360" s="8" t="str">
        <f>IF(ISBLANK(A360),"",VLOOKUP(A360,DOI_URL!$B$1:$C$74,2,FALSE()))</f>
        <v/>
      </c>
      <c r="C360" s="8"/>
      <c r="D360" s="8"/>
      <c r="I360" s="8"/>
      <c r="J360" s="8"/>
    </row>
    <row r="361">
      <c r="A361" s="8"/>
      <c r="B361" s="8" t="str">
        <f>IF(ISBLANK(A361),"",VLOOKUP(A361,DOI_URL!$B$1:$C$74,2,FALSE()))</f>
        <v/>
      </c>
      <c r="C361" s="8"/>
      <c r="D361" s="8"/>
      <c r="I361" s="8"/>
      <c r="J361" s="8"/>
    </row>
    <row r="362">
      <c r="A362" s="8"/>
      <c r="B362" s="8" t="str">
        <f>IF(ISBLANK(A362),"",VLOOKUP(A362,DOI_URL!$B$1:$C$74,2,FALSE()))</f>
        <v/>
      </c>
      <c r="C362" s="8"/>
      <c r="D362" s="8"/>
      <c r="I362" s="8"/>
      <c r="J362" s="8"/>
    </row>
    <row r="363">
      <c r="A363" s="8"/>
      <c r="B363" s="8" t="str">
        <f>IF(ISBLANK(A363),"",VLOOKUP(A363,DOI_URL!$B$1:$C$74,2,FALSE()))</f>
        <v/>
      </c>
      <c r="C363" s="8"/>
      <c r="D363" s="8"/>
      <c r="I363" s="8"/>
      <c r="J363" s="8"/>
    </row>
    <row r="364">
      <c r="A364" s="8"/>
      <c r="B364" s="8" t="str">
        <f>IF(ISBLANK(A364),"",VLOOKUP(A364,DOI_URL!$B$1:$C$74,2,FALSE()))</f>
        <v/>
      </c>
      <c r="C364" s="8"/>
      <c r="D364" s="8"/>
      <c r="I364" s="8"/>
      <c r="J364" s="8"/>
    </row>
    <row r="365">
      <c r="A365" s="8"/>
      <c r="B365" s="8" t="str">
        <f>IF(ISBLANK(A365),"",VLOOKUP(A365,DOI_URL!$B$1:$C$74,2,FALSE()))</f>
        <v/>
      </c>
      <c r="C365" s="8"/>
      <c r="D365" s="8"/>
      <c r="I365" s="8"/>
      <c r="J365" s="8"/>
    </row>
    <row r="366">
      <c r="A366" s="8"/>
      <c r="B366" s="8" t="str">
        <f>IF(ISBLANK(A366),"",VLOOKUP(A366,DOI_URL!$B$1:$C$74,2,FALSE()))</f>
        <v/>
      </c>
      <c r="C366" s="8"/>
      <c r="D366" s="8"/>
      <c r="I366" s="8"/>
      <c r="J366" s="8"/>
    </row>
    <row r="367">
      <c r="A367" s="8"/>
      <c r="B367" s="8" t="str">
        <f>IF(ISBLANK(A367),"",VLOOKUP(A367,DOI_URL!$B$1:$C$74,2,FALSE()))</f>
        <v/>
      </c>
      <c r="C367" s="8"/>
      <c r="D367" s="8"/>
      <c r="I367" s="8"/>
      <c r="J367" s="8"/>
    </row>
    <row r="368">
      <c r="A368" s="8"/>
      <c r="B368" s="8" t="str">
        <f>IF(ISBLANK(A368),"",VLOOKUP(A368,DOI_URL!$B$1:$C$74,2,FALSE()))</f>
        <v/>
      </c>
      <c r="C368" s="8"/>
      <c r="D368" s="8"/>
      <c r="I368" s="8"/>
      <c r="J368" s="8"/>
    </row>
    <row r="369">
      <c r="A369" s="8"/>
      <c r="B369" s="8" t="str">
        <f>IF(ISBLANK(A369),"",VLOOKUP(A369,DOI_URL!$B$1:$C$74,2,FALSE()))</f>
        <v/>
      </c>
      <c r="C369" s="8"/>
      <c r="D369" s="8"/>
      <c r="I369" s="8"/>
      <c r="J369" s="8"/>
    </row>
    <row r="370">
      <c r="A370" s="8"/>
      <c r="B370" s="8" t="str">
        <f>IF(ISBLANK(A370),"",VLOOKUP(A370,DOI_URL!$B$1:$C$74,2,FALSE()))</f>
        <v/>
      </c>
      <c r="C370" s="8"/>
      <c r="D370" s="8"/>
      <c r="I370" s="8"/>
      <c r="J370" s="8"/>
    </row>
    <row r="371">
      <c r="A371" s="8"/>
      <c r="B371" s="8" t="str">
        <f>IF(ISBLANK(A371),"",VLOOKUP(A371,DOI_URL!$B$1:$C$74,2,FALSE()))</f>
        <v/>
      </c>
      <c r="C371" s="8"/>
      <c r="D371" s="8"/>
      <c r="I371" s="8"/>
      <c r="J371" s="8"/>
    </row>
    <row r="372">
      <c r="A372" s="8"/>
      <c r="B372" s="8" t="str">
        <f>IF(ISBLANK(A372),"",VLOOKUP(A372,DOI_URL!$B$1:$C$74,2,FALSE()))</f>
        <v/>
      </c>
      <c r="C372" s="8"/>
      <c r="D372" s="8"/>
      <c r="I372" s="8"/>
      <c r="J372" s="8"/>
    </row>
    <row r="373">
      <c r="A373" s="8"/>
      <c r="B373" s="8" t="str">
        <f>IF(ISBLANK(A373),"",VLOOKUP(A373,DOI_URL!$B$1:$C$74,2,FALSE()))</f>
        <v/>
      </c>
      <c r="C373" s="8"/>
      <c r="D373" s="8"/>
      <c r="I373" s="8"/>
      <c r="J373" s="8"/>
    </row>
    <row r="374">
      <c r="A374" s="8"/>
      <c r="B374" s="8" t="str">
        <f>IF(ISBLANK(A374),"",VLOOKUP(A374,DOI_URL!$B$1:$C$74,2,FALSE()))</f>
        <v/>
      </c>
      <c r="C374" s="8"/>
      <c r="D374" s="8"/>
      <c r="I374" s="8"/>
      <c r="J374" s="8"/>
    </row>
    <row r="375">
      <c r="A375" s="8"/>
      <c r="B375" s="8" t="str">
        <f>IF(ISBLANK(A375),"",VLOOKUP(A375,DOI_URL!$B$1:$C$74,2,FALSE()))</f>
        <v/>
      </c>
      <c r="C375" s="8"/>
      <c r="D375" s="8"/>
      <c r="I375" s="8"/>
      <c r="J375" s="8"/>
    </row>
    <row r="376">
      <c r="A376" s="8"/>
      <c r="B376" s="8" t="str">
        <f>IF(ISBLANK(A376),"",VLOOKUP(A376,DOI_URL!$B$1:$C$74,2,FALSE()))</f>
        <v/>
      </c>
      <c r="C376" s="8"/>
      <c r="D376" s="8"/>
      <c r="I376" s="8"/>
      <c r="J376" s="8"/>
    </row>
    <row r="377">
      <c r="A377" s="8"/>
      <c r="B377" s="8" t="str">
        <f>IF(ISBLANK(A377),"",VLOOKUP(A377,DOI_URL!$B$1:$C$74,2,FALSE()))</f>
        <v/>
      </c>
      <c r="C377" s="8"/>
      <c r="D377" s="8"/>
      <c r="I377" s="8"/>
      <c r="J377" s="8"/>
    </row>
    <row r="378">
      <c r="A378" s="8"/>
      <c r="B378" s="8" t="str">
        <f>IF(ISBLANK(A378),"",VLOOKUP(A378,DOI_URL!$B$1:$C$74,2,FALSE()))</f>
        <v/>
      </c>
      <c r="C378" s="8"/>
      <c r="D378" s="8"/>
      <c r="I378" s="8"/>
      <c r="J378" s="8"/>
    </row>
    <row r="379">
      <c r="A379" s="8"/>
      <c r="B379" s="8" t="str">
        <f>IF(ISBLANK(A379),"",VLOOKUP(A379,DOI_URL!$B$1:$C$74,2,FALSE()))</f>
        <v/>
      </c>
      <c r="C379" s="8"/>
      <c r="D379" s="8"/>
      <c r="I379" s="8"/>
      <c r="J379" s="8"/>
    </row>
    <row r="380">
      <c r="A380" s="8"/>
      <c r="B380" s="8" t="str">
        <f>IF(ISBLANK(A380),"",VLOOKUP(A380,DOI_URL!$B$1:$C$74,2,FALSE()))</f>
        <v/>
      </c>
      <c r="C380" s="8"/>
      <c r="D380" s="8"/>
      <c r="I380" s="8"/>
      <c r="J380" s="8"/>
    </row>
    <row r="381">
      <c r="A381" s="8"/>
      <c r="B381" s="8" t="str">
        <f>IF(ISBLANK(A381),"",VLOOKUP(A381,DOI_URL!$B$1:$C$74,2,FALSE()))</f>
        <v/>
      </c>
      <c r="C381" s="8"/>
      <c r="D381" s="8"/>
      <c r="I381" s="8"/>
      <c r="J381" s="8"/>
    </row>
    <row r="382">
      <c r="A382" s="8"/>
      <c r="B382" s="8" t="str">
        <f>IF(ISBLANK(A382),"",VLOOKUP(A382,DOI_URL!$B$1:$C$74,2,FALSE()))</f>
        <v/>
      </c>
      <c r="C382" s="8"/>
      <c r="D382" s="8"/>
      <c r="I382" s="8"/>
      <c r="J382" s="8"/>
    </row>
    <row r="383">
      <c r="A383" s="8"/>
      <c r="B383" s="8" t="str">
        <f>IF(ISBLANK(A383),"",VLOOKUP(A383,DOI_URL!$B$1:$C$74,2,FALSE()))</f>
        <v/>
      </c>
      <c r="C383" s="8"/>
      <c r="D383" s="8"/>
      <c r="I383" s="8"/>
      <c r="J383" s="8"/>
    </row>
    <row r="384">
      <c r="A384" s="8"/>
      <c r="B384" s="8" t="str">
        <f>IF(ISBLANK(A384),"",VLOOKUP(A384,DOI_URL!$B$1:$C$74,2,FALSE()))</f>
        <v/>
      </c>
      <c r="C384" s="8"/>
      <c r="D384" s="8"/>
      <c r="I384" s="8"/>
      <c r="J384" s="8"/>
    </row>
    <row r="385">
      <c r="A385" s="8"/>
      <c r="B385" s="8" t="str">
        <f>IF(ISBLANK(A385),"",VLOOKUP(A385,DOI_URL!$B$1:$C$74,2,FALSE()))</f>
        <v/>
      </c>
      <c r="C385" s="8"/>
      <c r="D385" s="8"/>
      <c r="I385" s="8"/>
      <c r="J385" s="8"/>
    </row>
    <row r="386">
      <c r="A386" s="8"/>
      <c r="B386" s="8" t="str">
        <f>IF(ISBLANK(A386),"",VLOOKUP(A386,DOI_URL!$B$1:$C$74,2,FALSE()))</f>
        <v/>
      </c>
      <c r="C386" s="8"/>
      <c r="D386" s="8"/>
      <c r="I386" s="8"/>
      <c r="J386" s="8"/>
    </row>
    <row r="387">
      <c r="A387" s="8"/>
      <c r="B387" s="8" t="str">
        <f>IF(ISBLANK(A387),"",VLOOKUP(A387,DOI_URL!$B$1:$C$74,2,FALSE()))</f>
        <v/>
      </c>
      <c r="C387" s="8"/>
      <c r="D387" s="8"/>
      <c r="I387" s="8"/>
      <c r="J387" s="8"/>
    </row>
    <row r="388">
      <c r="A388" s="8"/>
      <c r="B388" s="8" t="str">
        <f>IF(ISBLANK(A388),"",VLOOKUP(A388,DOI_URL!$B$1:$C$74,2,FALSE()))</f>
        <v/>
      </c>
      <c r="C388" s="8"/>
      <c r="D388" s="8"/>
      <c r="I388" s="8"/>
      <c r="J388" s="8"/>
    </row>
    <row r="389">
      <c r="A389" s="8"/>
      <c r="B389" s="8" t="str">
        <f>IF(ISBLANK(A389),"",VLOOKUP(A389,DOI_URL!$B$1:$C$74,2,FALSE()))</f>
        <v/>
      </c>
      <c r="C389" s="8"/>
      <c r="D389" s="8"/>
      <c r="I389" s="8"/>
      <c r="J389" s="8"/>
    </row>
    <row r="390">
      <c r="A390" s="8"/>
      <c r="B390" s="8" t="str">
        <f>IF(ISBLANK(A390),"",VLOOKUP(A390,DOI_URL!$B$1:$C$74,2,FALSE()))</f>
        <v/>
      </c>
      <c r="C390" s="8"/>
      <c r="D390" s="8"/>
      <c r="I390" s="8"/>
      <c r="J390" s="8"/>
    </row>
    <row r="391">
      <c r="A391" s="8"/>
      <c r="B391" s="8" t="str">
        <f>IF(ISBLANK(A391),"",VLOOKUP(A391,DOI_URL!$B$1:$C$74,2,FALSE()))</f>
        <v/>
      </c>
      <c r="C391" s="8"/>
      <c r="D391" s="8"/>
      <c r="I391" s="8"/>
      <c r="J391" s="8"/>
    </row>
    <row r="392">
      <c r="A392" s="8"/>
      <c r="B392" s="8" t="str">
        <f>IF(ISBLANK(A392),"",VLOOKUP(A392,DOI_URL!$B$1:$C$74,2,FALSE()))</f>
        <v/>
      </c>
      <c r="C392" s="8"/>
      <c r="D392" s="8"/>
      <c r="I392" s="8"/>
      <c r="J392" s="8"/>
    </row>
    <row r="393">
      <c r="A393" s="8"/>
      <c r="B393" s="8" t="str">
        <f>IF(ISBLANK(A393),"",VLOOKUP(A393,DOI_URL!$B$1:$C$74,2,FALSE()))</f>
        <v/>
      </c>
      <c r="C393" s="8"/>
      <c r="D393" s="8"/>
      <c r="I393" s="8"/>
      <c r="J393" s="8"/>
    </row>
    <row r="394">
      <c r="A394" s="8"/>
      <c r="B394" s="8" t="str">
        <f>IF(ISBLANK(A394),"",VLOOKUP(A394,DOI_URL!$B$1:$C$74,2,FALSE()))</f>
        <v/>
      </c>
      <c r="C394" s="8"/>
      <c r="D394" s="8"/>
      <c r="I394" s="8"/>
      <c r="J394" s="8"/>
    </row>
    <row r="395">
      <c r="A395" s="8"/>
      <c r="B395" s="8" t="str">
        <f>IF(ISBLANK(A395),"",VLOOKUP(A395,DOI_URL!$B$1:$C$74,2,FALSE()))</f>
        <v/>
      </c>
      <c r="C395" s="8"/>
      <c r="D395" s="8"/>
      <c r="I395" s="8"/>
      <c r="J395" s="8"/>
    </row>
    <row r="396">
      <c r="A396" s="8"/>
      <c r="B396" s="8" t="str">
        <f>IF(ISBLANK(A396),"",VLOOKUP(A396,DOI_URL!$B$1:$C$74,2,FALSE()))</f>
        <v/>
      </c>
      <c r="C396" s="8"/>
      <c r="D396" s="8"/>
      <c r="I396" s="8"/>
      <c r="J396" s="8"/>
    </row>
    <row r="397">
      <c r="A397" s="8"/>
      <c r="B397" s="8" t="str">
        <f>IF(ISBLANK(A397),"",VLOOKUP(A397,DOI_URL!$B$1:$C$74,2,FALSE()))</f>
        <v/>
      </c>
      <c r="C397" s="8"/>
      <c r="D397" s="8"/>
      <c r="I397" s="8"/>
      <c r="J397" s="8"/>
    </row>
    <row r="398">
      <c r="A398" s="8"/>
      <c r="B398" s="8" t="str">
        <f>IF(ISBLANK(A398),"",VLOOKUP(A398,DOI_URL!$B$1:$C$74,2,FALSE()))</f>
        <v/>
      </c>
      <c r="C398" s="8"/>
      <c r="D398" s="8"/>
      <c r="I398" s="8"/>
      <c r="J398" s="8"/>
    </row>
    <row r="399">
      <c r="A399" s="8"/>
      <c r="B399" s="8" t="str">
        <f>IF(ISBLANK(A399),"",VLOOKUP(A399,DOI_URL!$B$1:$C$74,2,FALSE()))</f>
        <v/>
      </c>
      <c r="C399" s="8"/>
      <c r="D399" s="8"/>
      <c r="I399" s="8"/>
      <c r="J399" s="8"/>
    </row>
    <row r="400">
      <c r="A400" s="8"/>
      <c r="B400" s="8" t="str">
        <f>IF(ISBLANK(A400),"",VLOOKUP(A400,DOI_URL!$B$1:$C$74,2,FALSE()))</f>
        <v/>
      </c>
      <c r="C400" s="8"/>
      <c r="D400" s="8"/>
      <c r="I400" s="8"/>
      <c r="J400" s="8"/>
    </row>
    <row r="401">
      <c r="A401" s="8"/>
      <c r="B401" s="8" t="str">
        <f>IF(ISBLANK(A401),"",VLOOKUP(A401,DOI_URL!$B$1:$C$74,2,FALSE()))</f>
        <v/>
      </c>
      <c r="C401" s="8"/>
      <c r="D401" s="8"/>
      <c r="I401" s="8"/>
      <c r="J401" s="8"/>
    </row>
    <row r="402">
      <c r="A402" s="8"/>
      <c r="B402" s="8" t="str">
        <f>IF(ISBLANK(A402),"",VLOOKUP(A402,DOI_URL!$B$1:$C$74,2,FALSE()))</f>
        <v/>
      </c>
      <c r="C402" s="8"/>
      <c r="D402" s="8"/>
      <c r="I402" s="8"/>
      <c r="J402" s="8"/>
    </row>
    <row r="403">
      <c r="A403" s="8"/>
      <c r="B403" s="8" t="str">
        <f>IF(ISBLANK(A403),"",VLOOKUP(A403,DOI_URL!$B$1:$C$74,2,FALSE()))</f>
        <v/>
      </c>
      <c r="C403" s="8"/>
      <c r="D403" s="8"/>
      <c r="I403" s="8"/>
      <c r="J403" s="8"/>
    </row>
    <row r="404">
      <c r="A404" s="8"/>
      <c r="B404" s="8" t="str">
        <f>IF(ISBLANK(A404),"",VLOOKUP(A404,DOI_URL!$B$1:$C$74,2,FALSE()))</f>
        <v/>
      </c>
      <c r="C404" s="8"/>
      <c r="D404" s="8"/>
      <c r="I404" s="8"/>
      <c r="J404" s="8"/>
    </row>
    <row r="405">
      <c r="A405" s="8"/>
      <c r="B405" s="8" t="str">
        <f>IF(ISBLANK(A405),"",VLOOKUP(A405,DOI_URL!$B$1:$C$74,2,FALSE()))</f>
        <v/>
      </c>
      <c r="C405" s="8"/>
      <c r="D405" s="8"/>
      <c r="I405" s="8"/>
      <c r="J405" s="8"/>
    </row>
    <row r="406">
      <c r="A406" s="8"/>
      <c r="B406" s="8" t="str">
        <f>IF(ISBLANK(A406),"",VLOOKUP(A406,DOI_URL!$B$1:$C$74,2,FALSE()))</f>
        <v/>
      </c>
      <c r="C406" s="8"/>
      <c r="D406" s="8"/>
      <c r="I406" s="8"/>
      <c r="J406" s="8"/>
    </row>
    <row r="407">
      <c r="A407" s="8"/>
      <c r="B407" s="8" t="str">
        <f>IF(ISBLANK(A407),"",VLOOKUP(A407,DOI_URL!$B$1:$C$74,2,FALSE()))</f>
        <v/>
      </c>
      <c r="C407" s="8"/>
      <c r="D407" s="8"/>
      <c r="I407" s="8"/>
      <c r="J407" s="8"/>
    </row>
    <row r="408">
      <c r="A408" s="8"/>
      <c r="B408" s="8" t="str">
        <f>IF(ISBLANK(A408),"",VLOOKUP(A408,DOI_URL!$B$1:$C$74,2,FALSE()))</f>
        <v/>
      </c>
      <c r="C408" s="8"/>
      <c r="D408" s="8"/>
      <c r="I408" s="8"/>
      <c r="J408" s="8"/>
    </row>
    <row r="409">
      <c r="A409" s="8"/>
      <c r="B409" s="8" t="str">
        <f>IF(ISBLANK(A409),"",VLOOKUP(A409,DOI_URL!$B$1:$C$74,2,FALSE()))</f>
        <v/>
      </c>
      <c r="C409" s="8"/>
      <c r="D409" s="8"/>
      <c r="I409" s="8"/>
      <c r="J409" s="8"/>
    </row>
    <row r="410">
      <c r="A410" s="8"/>
      <c r="B410" s="8" t="str">
        <f>IF(ISBLANK(A410),"",VLOOKUP(A410,DOI_URL!$B$1:$C$74,2,FALSE()))</f>
        <v/>
      </c>
      <c r="C410" s="8"/>
      <c r="D410" s="8"/>
      <c r="I410" s="8"/>
      <c r="J410" s="8"/>
    </row>
    <row r="411">
      <c r="A411" s="8"/>
      <c r="B411" s="8" t="str">
        <f>IF(ISBLANK(A411),"",VLOOKUP(A411,DOI_URL!$B$1:$C$74,2,FALSE()))</f>
        <v/>
      </c>
      <c r="C411" s="8"/>
      <c r="D411" s="8"/>
      <c r="I411" s="8"/>
      <c r="J411" s="8"/>
    </row>
    <row r="412">
      <c r="A412" s="8"/>
      <c r="B412" s="8" t="str">
        <f>IF(ISBLANK(A412),"",VLOOKUP(A412,DOI_URL!$B$1:$C$74,2,FALSE()))</f>
        <v/>
      </c>
      <c r="C412" s="8"/>
      <c r="D412" s="8"/>
      <c r="I412" s="8"/>
      <c r="J412" s="8"/>
    </row>
    <row r="413">
      <c r="A413" s="8"/>
      <c r="B413" s="8" t="str">
        <f>IF(ISBLANK(A413),"",VLOOKUP(A413,DOI_URL!$B$1:$C$74,2,FALSE()))</f>
        <v/>
      </c>
      <c r="C413" s="8"/>
      <c r="D413" s="8"/>
      <c r="I413" s="8"/>
      <c r="J413" s="8"/>
    </row>
    <row r="414">
      <c r="A414" s="8"/>
      <c r="B414" s="8" t="str">
        <f>IF(ISBLANK(A414),"",VLOOKUP(A414,DOI_URL!$B$1:$C$74,2,FALSE()))</f>
        <v/>
      </c>
      <c r="C414" s="8"/>
      <c r="D414" s="8"/>
      <c r="I414" s="8"/>
      <c r="J414" s="8"/>
    </row>
    <row r="415">
      <c r="A415" s="8"/>
      <c r="B415" s="8" t="str">
        <f>IF(ISBLANK(A415),"",VLOOKUP(A415,DOI_URL!$B$1:$C$74,2,FALSE()))</f>
        <v/>
      </c>
      <c r="C415" s="8"/>
      <c r="D415" s="8"/>
      <c r="I415" s="8"/>
      <c r="J415" s="8"/>
    </row>
    <row r="416">
      <c r="A416" s="8"/>
      <c r="B416" s="8" t="str">
        <f>IF(ISBLANK(A416),"",VLOOKUP(A416,DOI_URL!$B$1:$C$74,2,FALSE()))</f>
        <v/>
      </c>
      <c r="C416" s="8"/>
      <c r="D416" s="8"/>
      <c r="I416" s="8"/>
      <c r="J416" s="8"/>
    </row>
    <row r="417">
      <c r="A417" s="8"/>
      <c r="B417" s="8" t="str">
        <f>IF(ISBLANK(A417),"",VLOOKUP(A417,DOI_URL!$B$1:$C$74,2,FALSE()))</f>
        <v/>
      </c>
      <c r="C417" s="8"/>
      <c r="D417" s="8"/>
      <c r="I417" s="8"/>
      <c r="J417" s="8"/>
    </row>
    <row r="418">
      <c r="A418" s="8"/>
      <c r="B418" s="8" t="str">
        <f>IF(ISBLANK(A418),"",VLOOKUP(A418,DOI_URL!$B$1:$C$74,2,FALSE()))</f>
        <v/>
      </c>
      <c r="C418" s="8"/>
      <c r="D418" s="8"/>
      <c r="I418" s="8"/>
      <c r="J418" s="8"/>
    </row>
    <row r="419">
      <c r="A419" s="8"/>
      <c r="B419" s="8" t="str">
        <f>IF(ISBLANK(A419),"",VLOOKUP(A419,DOI_URL!$B$1:$C$74,2,FALSE()))</f>
        <v/>
      </c>
      <c r="C419" s="8"/>
      <c r="D419" s="8"/>
      <c r="I419" s="8"/>
      <c r="J419" s="8"/>
    </row>
    <row r="420">
      <c r="A420" s="8"/>
      <c r="B420" s="8" t="str">
        <f>IF(ISBLANK(A420),"",VLOOKUP(A420,DOI_URL!$B$1:$C$74,2,FALSE()))</f>
        <v/>
      </c>
      <c r="C420" s="8"/>
      <c r="D420" s="8"/>
      <c r="I420" s="8"/>
      <c r="J420" s="8"/>
    </row>
    <row r="421">
      <c r="A421" s="8"/>
      <c r="B421" s="8" t="str">
        <f>IF(ISBLANK(A421),"",VLOOKUP(A421,DOI_URL!$B$1:$C$74,2,FALSE()))</f>
        <v/>
      </c>
      <c r="C421" s="8"/>
      <c r="D421" s="8"/>
      <c r="I421" s="8"/>
      <c r="J421" s="8"/>
    </row>
    <row r="422">
      <c r="A422" s="8"/>
      <c r="B422" s="8" t="str">
        <f>IF(ISBLANK(A422),"",VLOOKUP(A422,DOI_URL!$B$1:$C$74,2,FALSE()))</f>
        <v/>
      </c>
      <c r="C422" s="8"/>
      <c r="D422" s="8"/>
      <c r="I422" s="8"/>
      <c r="J422" s="8"/>
    </row>
    <row r="423">
      <c r="A423" s="8"/>
      <c r="B423" s="8" t="str">
        <f>IF(ISBLANK(A423),"",VLOOKUP(A423,DOI_URL!$B$1:$C$74,2,FALSE()))</f>
        <v/>
      </c>
      <c r="C423" s="8"/>
      <c r="D423" s="8"/>
      <c r="I423" s="8"/>
      <c r="J423" s="8"/>
    </row>
    <row r="424">
      <c r="A424" s="8"/>
      <c r="B424" s="8" t="str">
        <f>IF(ISBLANK(A424),"",VLOOKUP(A424,DOI_URL!$B$1:$C$74,2,FALSE()))</f>
        <v/>
      </c>
      <c r="C424" s="8"/>
      <c r="D424" s="8"/>
      <c r="I424" s="8"/>
      <c r="J424" s="8"/>
    </row>
    <row r="425">
      <c r="A425" s="8"/>
      <c r="B425" s="8" t="str">
        <f>IF(ISBLANK(A425),"",VLOOKUP(A425,DOI_URL!$B$1:$C$74,2,FALSE()))</f>
        <v/>
      </c>
      <c r="C425" s="8"/>
      <c r="D425" s="8"/>
      <c r="I425" s="8"/>
      <c r="J425" s="8"/>
    </row>
    <row r="426">
      <c r="A426" s="8"/>
      <c r="B426" s="8" t="str">
        <f>IF(ISBLANK(A426),"",VLOOKUP(A426,DOI_URL!$B$1:$C$74,2,FALSE()))</f>
        <v/>
      </c>
      <c r="C426" s="8"/>
      <c r="D426" s="8"/>
      <c r="I426" s="8"/>
      <c r="J426" s="8"/>
    </row>
    <row r="427">
      <c r="A427" s="8"/>
      <c r="B427" s="8" t="str">
        <f>IF(ISBLANK(A427),"",VLOOKUP(A427,DOI_URL!$B$1:$C$74,2,FALSE()))</f>
        <v/>
      </c>
      <c r="C427" s="8"/>
      <c r="D427" s="8"/>
      <c r="I427" s="8"/>
      <c r="J427" s="8"/>
    </row>
    <row r="428">
      <c r="A428" s="8"/>
      <c r="B428" s="8" t="str">
        <f>IF(ISBLANK(A428),"",VLOOKUP(A428,DOI_URL!$B$1:$C$74,2,FALSE()))</f>
        <v/>
      </c>
      <c r="C428" s="8"/>
      <c r="D428" s="8"/>
      <c r="I428" s="8"/>
      <c r="J428" s="8"/>
    </row>
    <row r="429">
      <c r="A429" s="8"/>
      <c r="B429" s="8" t="str">
        <f>IF(ISBLANK(A429),"",VLOOKUP(A429,DOI_URL!$B$1:$C$74,2,FALSE()))</f>
        <v/>
      </c>
      <c r="C429" s="8"/>
      <c r="D429" s="8"/>
      <c r="I429" s="8"/>
      <c r="J429" s="8"/>
    </row>
    <row r="430">
      <c r="A430" s="8"/>
      <c r="B430" s="8" t="str">
        <f>IF(ISBLANK(A430),"",VLOOKUP(A430,DOI_URL!$B$1:$C$74,2,FALSE()))</f>
        <v/>
      </c>
      <c r="C430" s="8"/>
      <c r="D430" s="8"/>
      <c r="I430" s="8"/>
      <c r="J430" s="8"/>
    </row>
    <row r="431">
      <c r="A431" s="8"/>
      <c r="B431" s="8" t="str">
        <f>IF(ISBLANK(A431),"",VLOOKUP(A431,DOI_URL!$B$1:$C$74,2,FALSE()))</f>
        <v/>
      </c>
      <c r="C431" s="8"/>
      <c r="D431" s="8"/>
      <c r="I431" s="8"/>
      <c r="J431" s="8"/>
    </row>
    <row r="432">
      <c r="A432" s="8"/>
      <c r="B432" s="8" t="str">
        <f>IF(ISBLANK(A432),"",VLOOKUP(A432,DOI_URL!$B$1:$C$74,2,FALSE()))</f>
        <v/>
      </c>
      <c r="C432" s="8"/>
      <c r="D432" s="8"/>
      <c r="I432" s="8"/>
      <c r="J432" s="8"/>
    </row>
    <row r="433">
      <c r="A433" s="8"/>
      <c r="B433" s="8" t="str">
        <f>IF(ISBLANK(A433),"",VLOOKUP(A433,DOI_URL!$B$1:$C$74,2,FALSE()))</f>
        <v/>
      </c>
      <c r="C433" s="8"/>
      <c r="D433" s="8"/>
      <c r="I433" s="8"/>
      <c r="J433" s="8"/>
    </row>
    <row r="434">
      <c r="A434" s="8"/>
      <c r="B434" s="8" t="str">
        <f>IF(ISBLANK(A434),"",VLOOKUP(A434,DOI_URL!$B$1:$C$74,2,FALSE()))</f>
        <v/>
      </c>
      <c r="C434" s="8"/>
      <c r="D434" s="8"/>
      <c r="I434" s="8"/>
      <c r="J434" s="8"/>
    </row>
    <row r="435">
      <c r="A435" s="8"/>
      <c r="B435" s="8" t="str">
        <f>IF(ISBLANK(A435),"",VLOOKUP(A435,DOI_URL!$B$1:$C$74,2,FALSE()))</f>
        <v/>
      </c>
      <c r="C435" s="8"/>
      <c r="D435" s="8"/>
      <c r="I435" s="8"/>
      <c r="J435" s="8"/>
    </row>
    <row r="436">
      <c r="A436" s="8"/>
      <c r="B436" s="8" t="str">
        <f>IF(ISBLANK(A436),"",VLOOKUP(A436,DOI_URL!$B$1:$C$74,2,FALSE()))</f>
        <v/>
      </c>
      <c r="C436" s="8"/>
      <c r="D436" s="8"/>
      <c r="I436" s="8"/>
      <c r="J436" s="8"/>
    </row>
    <row r="437">
      <c r="A437" s="8"/>
      <c r="B437" s="8" t="str">
        <f>IF(ISBLANK(A437),"",VLOOKUP(A437,DOI_URL!$B$1:$C$74,2,FALSE()))</f>
        <v/>
      </c>
      <c r="C437" s="8"/>
      <c r="D437" s="8"/>
      <c r="I437" s="8"/>
      <c r="J437" s="8"/>
    </row>
    <row r="438">
      <c r="A438" s="8"/>
      <c r="B438" s="8" t="str">
        <f>IF(ISBLANK(A438),"",VLOOKUP(A438,DOI_URL!$B$1:$C$74,2,FALSE()))</f>
        <v/>
      </c>
      <c r="C438" s="8"/>
      <c r="D438" s="8"/>
      <c r="I438" s="8"/>
      <c r="J438" s="8"/>
    </row>
    <row r="439">
      <c r="A439" s="8"/>
      <c r="B439" s="8" t="str">
        <f>IF(ISBLANK(A439),"",VLOOKUP(A439,DOI_URL!$B$1:$C$74,2,FALSE()))</f>
        <v/>
      </c>
      <c r="C439" s="8"/>
      <c r="D439" s="8"/>
      <c r="I439" s="8"/>
      <c r="J439" s="8"/>
    </row>
    <row r="440">
      <c r="A440" s="8"/>
      <c r="B440" s="8" t="str">
        <f>IF(ISBLANK(A440),"",VLOOKUP(A440,DOI_URL!$B$1:$C$74,2,FALSE()))</f>
        <v/>
      </c>
      <c r="C440" s="8"/>
      <c r="D440" s="8"/>
      <c r="I440" s="8"/>
      <c r="J440" s="8"/>
    </row>
    <row r="441">
      <c r="A441" s="8"/>
      <c r="B441" s="8" t="str">
        <f>IF(ISBLANK(A441),"",VLOOKUP(A441,DOI_URL!$B$1:$C$74,2,FALSE()))</f>
        <v/>
      </c>
      <c r="C441" s="8"/>
      <c r="D441" s="8"/>
      <c r="I441" s="8"/>
      <c r="J441" s="8"/>
    </row>
    <row r="442">
      <c r="A442" s="8"/>
      <c r="B442" s="8" t="str">
        <f>IF(ISBLANK(A442),"",VLOOKUP(A442,DOI_URL!$B$1:$C$74,2,FALSE()))</f>
        <v/>
      </c>
      <c r="C442" s="8"/>
      <c r="D442" s="8"/>
      <c r="I442" s="8"/>
      <c r="J442" s="8"/>
    </row>
    <row r="443">
      <c r="A443" s="8"/>
      <c r="B443" s="8" t="str">
        <f>IF(ISBLANK(A443),"",VLOOKUP(A443,DOI_URL!$B$1:$C$74,2,FALSE()))</f>
        <v/>
      </c>
      <c r="C443" s="8"/>
      <c r="D443" s="8"/>
      <c r="I443" s="8"/>
      <c r="J443" s="8"/>
    </row>
    <row r="444">
      <c r="A444" s="8"/>
      <c r="B444" s="8" t="str">
        <f>IF(ISBLANK(A444),"",VLOOKUP(A444,DOI_URL!$B$1:$C$74,2,FALSE()))</f>
        <v/>
      </c>
      <c r="C444" s="8"/>
      <c r="D444" s="8"/>
      <c r="I444" s="8"/>
      <c r="J444" s="8"/>
    </row>
    <row r="445">
      <c r="A445" s="8"/>
      <c r="B445" s="8" t="str">
        <f>IF(ISBLANK(A445),"",VLOOKUP(A445,DOI_URL!$B$1:$C$74,2,FALSE()))</f>
        <v/>
      </c>
      <c r="C445" s="8"/>
      <c r="D445" s="8"/>
      <c r="I445" s="8"/>
      <c r="J445" s="8"/>
    </row>
    <row r="446">
      <c r="A446" s="8"/>
      <c r="B446" s="8" t="str">
        <f>IF(ISBLANK(A446),"",VLOOKUP(A446,DOI_URL!$B$1:$C$74,2,FALSE()))</f>
        <v/>
      </c>
      <c r="C446" s="8"/>
      <c r="D446" s="8"/>
      <c r="I446" s="8"/>
      <c r="J446" s="8"/>
    </row>
    <row r="447">
      <c r="A447" s="8"/>
      <c r="B447" s="8" t="str">
        <f>IF(ISBLANK(A447),"",VLOOKUP(A447,DOI_URL!$B$1:$C$74,2,FALSE()))</f>
        <v/>
      </c>
      <c r="C447" s="8"/>
      <c r="D447" s="8"/>
      <c r="I447" s="8"/>
      <c r="J447" s="8"/>
    </row>
    <row r="448">
      <c r="A448" s="8"/>
      <c r="B448" s="8" t="str">
        <f>IF(ISBLANK(A448),"",VLOOKUP(A448,DOI_URL!$B$1:$C$74,2,FALSE()))</f>
        <v/>
      </c>
      <c r="C448" s="8"/>
      <c r="D448" s="8"/>
      <c r="I448" s="8"/>
      <c r="J448" s="8"/>
    </row>
    <row r="449">
      <c r="A449" s="8"/>
      <c r="B449" s="8" t="str">
        <f>IF(ISBLANK(A449),"",VLOOKUP(A449,DOI_URL!$B$1:$C$74,2,FALSE()))</f>
        <v/>
      </c>
      <c r="C449" s="8"/>
      <c r="D449" s="8"/>
      <c r="I449" s="8"/>
      <c r="J449" s="8"/>
    </row>
    <row r="450">
      <c r="A450" s="8"/>
      <c r="B450" s="8" t="str">
        <f>IF(ISBLANK(A450),"",VLOOKUP(A450,DOI_URL!$B$1:$C$74,2,FALSE()))</f>
        <v/>
      </c>
      <c r="C450" s="8"/>
      <c r="D450" s="8"/>
      <c r="I450" s="8"/>
      <c r="J450" s="8"/>
    </row>
    <row r="451">
      <c r="A451" s="8"/>
      <c r="B451" s="8" t="str">
        <f>IF(ISBLANK(A451),"",VLOOKUP(A451,DOI_URL!$B$1:$C$74,2,FALSE()))</f>
        <v/>
      </c>
      <c r="C451" s="8"/>
      <c r="D451" s="8"/>
      <c r="I451" s="8"/>
      <c r="J451" s="8"/>
    </row>
    <row r="452">
      <c r="A452" s="8"/>
      <c r="B452" s="8" t="str">
        <f>IF(ISBLANK(A452),"",VLOOKUP(A452,DOI_URL!$B$1:$C$74,2,FALSE()))</f>
        <v/>
      </c>
      <c r="C452" s="8"/>
      <c r="D452" s="8"/>
      <c r="I452" s="8"/>
      <c r="J452" s="8"/>
    </row>
    <row r="453">
      <c r="A453" s="8"/>
      <c r="B453" s="8" t="str">
        <f>IF(ISBLANK(A453),"",VLOOKUP(A453,DOI_URL!$B$1:$C$74,2,FALSE()))</f>
        <v/>
      </c>
      <c r="C453" s="8"/>
      <c r="D453" s="8"/>
      <c r="I453" s="8"/>
      <c r="J453" s="8"/>
    </row>
    <row r="454">
      <c r="A454" s="8"/>
      <c r="B454" s="8" t="str">
        <f>IF(ISBLANK(A454),"",VLOOKUP(A454,DOI_URL!$B$1:$C$74,2,FALSE()))</f>
        <v/>
      </c>
      <c r="C454" s="8"/>
      <c r="D454" s="8"/>
      <c r="I454" s="8"/>
      <c r="J454" s="8"/>
    </row>
    <row r="455">
      <c r="A455" s="8"/>
      <c r="B455" s="8" t="str">
        <f>IF(ISBLANK(A455),"",VLOOKUP(A455,DOI_URL!$B$1:$C$74,2,FALSE()))</f>
        <v/>
      </c>
      <c r="C455" s="8"/>
      <c r="D455" s="8"/>
      <c r="I455" s="8"/>
      <c r="J455" s="8"/>
    </row>
    <row r="456">
      <c r="A456" s="8"/>
      <c r="B456" s="8" t="str">
        <f>IF(ISBLANK(A456),"",VLOOKUP(A456,DOI_URL!$B$1:$C$74,2,FALSE()))</f>
        <v/>
      </c>
      <c r="C456" s="8"/>
      <c r="D456" s="8"/>
      <c r="I456" s="8"/>
      <c r="J456" s="8"/>
    </row>
    <row r="457">
      <c r="A457" s="8"/>
      <c r="B457" s="8" t="str">
        <f>IF(ISBLANK(A457),"",VLOOKUP(A457,DOI_URL!$B$1:$C$74,2,FALSE()))</f>
        <v/>
      </c>
      <c r="C457" s="8"/>
      <c r="D457" s="8"/>
      <c r="I457" s="8"/>
      <c r="J457" s="8"/>
    </row>
    <row r="458">
      <c r="A458" s="8"/>
      <c r="B458" s="8" t="str">
        <f>IF(ISBLANK(A458),"",VLOOKUP(A458,DOI_URL!$B$1:$C$74,2,FALSE()))</f>
        <v/>
      </c>
      <c r="C458" s="8"/>
      <c r="D458" s="8"/>
      <c r="I458" s="8"/>
      <c r="J458" s="8"/>
    </row>
    <row r="459">
      <c r="A459" s="8"/>
      <c r="B459" s="8" t="str">
        <f>IF(ISBLANK(A459),"",VLOOKUP(A459,DOI_URL!$B$1:$C$74,2,FALSE()))</f>
        <v/>
      </c>
      <c r="C459" s="8"/>
      <c r="D459" s="8"/>
      <c r="I459" s="8"/>
      <c r="J459" s="8"/>
    </row>
    <row r="460">
      <c r="A460" s="8"/>
      <c r="B460" s="8" t="str">
        <f>IF(ISBLANK(A460),"",VLOOKUP(A460,DOI_URL!$B$1:$C$74,2,FALSE()))</f>
        <v/>
      </c>
      <c r="C460" s="8"/>
      <c r="D460" s="8"/>
      <c r="I460" s="8"/>
      <c r="J460" s="8"/>
    </row>
    <row r="461">
      <c r="A461" s="8"/>
      <c r="B461" s="8" t="str">
        <f>IF(ISBLANK(A461),"",VLOOKUP(A461,DOI_URL!$B$1:$C$74,2,FALSE()))</f>
        <v/>
      </c>
      <c r="C461" s="8"/>
      <c r="D461" s="8"/>
      <c r="I461" s="8"/>
      <c r="J461" s="8"/>
    </row>
    <row r="462">
      <c r="A462" s="8"/>
      <c r="B462" s="8" t="str">
        <f>IF(ISBLANK(A462),"",VLOOKUP(A462,DOI_URL!$B$1:$C$74,2,FALSE()))</f>
        <v/>
      </c>
      <c r="C462" s="8"/>
      <c r="D462" s="8"/>
      <c r="I462" s="8"/>
      <c r="J462" s="8"/>
    </row>
    <row r="463">
      <c r="A463" s="8"/>
      <c r="B463" s="8" t="str">
        <f>IF(ISBLANK(A463),"",VLOOKUP(A463,DOI_URL!$B$1:$C$74,2,FALSE()))</f>
        <v/>
      </c>
      <c r="C463" s="8"/>
      <c r="D463" s="8"/>
      <c r="I463" s="8"/>
      <c r="J463" s="8"/>
    </row>
    <row r="464">
      <c r="A464" s="8"/>
      <c r="B464" s="8" t="str">
        <f>IF(ISBLANK(A464),"",VLOOKUP(A464,DOI_URL!$B$1:$C$74,2,FALSE()))</f>
        <v/>
      </c>
      <c r="C464" s="8"/>
      <c r="D464" s="8"/>
      <c r="I464" s="8"/>
      <c r="J464" s="8"/>
    </row>
    <row r="465">
      <c r="A465" s="8"/>
      <c r="B465" s="8" t="str">
        <f>IF(ISBLANK(A465),"",VLOOKUP(A465,DOI_URL!$B$1:$C$74,2,FALSE()))</f>
        <v/>
      </c>
      <c r="C465" s="8"/>
      <c r="D465" s="8"/>
      <c r="I465" s="8"/>
      <c r="J465" s="8"/>
    </row>
    <row r="466">
      <c r="A466" s="8"/>
      <c r="B466" s="8" t="str">
        <f>IF(ISBLANK(A466),"",VLOOKUP(A466,DOI_URL!$B$1:$C$74,2,FALSE()))</f>
        <v/>
      </c>
      <c r="C466" s="8"/>
      <c r="D466" s="8"/>
      <c r="I466" s="8"/>
      <c r="J466" s="8"/>
    </row>
    <row r="467">
      <c r="A467" s="8"/>
      <c r="B467" s="8" t="str">
        <f>IF(ISBLANK(A467),"",VLOOKUP(A467,DOI_URL!$B$1:$C$74,2,FALSE()))</f>
        <v/>
      </c>
      <c r="C467" s="8"/>
      <c r="D467" s="8"/>
      <c r="I467" s="8"/>
      <c r="J467" s="8"/>
    </row>
    <row r="468">
      <c r="A468" s="8"/>
      <c r="B468" s="8" t="str">
        <f>IF(ISBLANK(A468),"",VLOOKUP(A468,DOI_URL!$B$1:$C$74,2,FALSE()))</f>
        <v/>
      </c>
      <c r="C468" s="8"/>
      <c r="D468" s="8"/>
      <c r="I468" s="8"/>
      <c r="J468" s="8"/>
    </row>
    <row r="469">
      <c r="A469" s="8"/>
      <c r="B469" s="8" t="str">
        <f>IF(ISBLANK(A469),"",VLOOKUP(A469,DOI_URL!$B$1:$C$74,2,FALSE()))</f>
        <v/>
      </c>
      <c r="C469" s="8"/>
      <c r="D469" s="8"/>
      <c r="I469" s="8"/>
      <c r="J469" s="8"/>
    </row>
    <row r="470">
      <c r="A470" s="8"/>
      <c r="B470" s="8" t="str">
        <f>IF(ISBLANK(A470),"",VLOOKUP(A470,DOI_URL!$B$1:$C$74,2,FALSE()))</f>
        <v/>
      </c>
      <c r="C470" s="8"/>
      <c r="D470" s="8"/>
      <c r="I470" s="8"/>
      <c r="J470" s="8"/>
    </row>
    <row r="471">
      <c r="A471" s="8"/>
      <c r="B471" s="8" t="str">
        <f>IF(ISBLANK(A471),"",VLOOKUP(A471,DOI_URL!$B$1:$C$74,2,FALSE()))</f>
        <v/>
      </c>
      <c r="C471" s="8"/>
      <c r="D471" s="8"/>
      <c r="I471" s="8"/>
      <c r="J471" s="8"/>
    </row>
    <row r="472">
      <c r="A472" s="8"/>
      <c r="B472" s="8" t="str">
        <f>IF(ISBLANK(A472),"",VLOOKUP(A472,DOI_URL!$B$1:$C$74,2,FALSE()))</f>
        <v/>
      </c>
      <c r="C472" s="8"/>
      <c r="D472" s="8"/>
      <c r="I472" s="8"/>
      <c r="J472" s="8"/>
    </row>
    <row r="473">
      <c r="A473" s="8"/>
      <c r="B473" s="8" t="str">
        <f>IF(ISBLANK(A473),"",VLOOKUP(A473,DOI_URL!$B$1:$C$74,2,FALSE()))</f>
        <v/>
      </c>
      <c r="C473" s="8"/>
      <c r="D473" s="8"/>
      <c r="I473" s="8"/>
      <c r="J473" s="8"/>
    </row>
    <row r="474">
      <c r="A474" s="8"/>
      <c r="B474" s="8" t="str">
        <f>IF(ISBLANK(A474),"",VLOOKUP(A474,DOI_URL!$B$1:$C$74,2,FALSE()))</f>
        <v/>
      </c>
      <c r="C474" s="8"/>
      <c r="D474" s="8"/>
      <c r="I474" s="8"/>
      <c r="J474" s="8"/>
    </row>
    <row r="475">
      <c r="A475" s="8"/>
      <c r="B475" s="8" t="str">
        <f>IF(ISBLANK(A475),"",VLOOKUP(A475,DOI_URL!$B$1:$C$74,2,FALSE()))</f>
        <v/>
      </c>
      <c r="C475" s="8"/>
      <c r="D475" s="8"/>
      <c r="I475" s="8"/>
      <c r="J475" s="8"/>
    </row>
    <row r="476">
      <c r="A476" s="8"/>
      <c r="B476" s="8" t="str">
        <f>IF(ISBLANK(A476),"",VLOOKUP(A476,DOI_URL!$B$1:$C$74,2,FALSE()))</f>
        <v/>
      </c>
      <c r="C476" s="8"/>
      <c r="D476" s="8"/>
      <c r="I476" s="8"/>
      <c r="J476" s="8"/>
    </row>
    <row r="477">
      <c r="A477" s="8"/>
      <c r="B477" s="8" t="str">
        <f>IF(ISBLANK(A477),"",VLOOKUP(A477,DOI_URL!$B$1:$C$74,2,FALSE()))</f>
        <v/>
      </c>
      <c r="C477" s="8"/>
      <c r="D477" s="8"/>
      <c r="I477" s="8"/>
      <c r="J477" s="8"/>
    </row>
    <row r="478">
      <c r="A478" s="8"/>
      <c r="B478" s="8" t="str">
        <f>IF(ISBLANK(A478),"",VLOOKUP(A478,DOI_URL!$B$1:$C$74,2,FALSE()))</f>
        <v/>
      </c>
      <c r="C478" s="8"/>
      <c r="D478" s="8"/>
      <c r="I478" s="8"/>
      <c r="J478" s="8"/>
    </row>
    <row r="479">
      <c r="A479" s="8"/>
      <c r="B479" s="8" t="str">
        <f>IF(ISBLANK(A479),"",VLOOKUP(A479,DOI_URL!$B$1:$C$74,2,FALSE()))</f>
        <v/>
      </c>
      <c r="C479" s="8"/>
      <c r="D479" s="8"/>
      <c r="I479" s="8"/>
      <c r="J479" s="8"/>
    </row>
    <row r="480">
      <c r="A480" s="8"/>
      <c r="B480" s="8" t="str">
        <f>IF(ISBLANK(A480),"",VLOOKUP(A480,DOI_URL!$B$1:$C$74,2,FALSE()))</f>
        <v/>
      </c>
      <c r="C480" s="8"/>
      <c r="D480" s="8"/>
      <c r="I480" s="8"/>
      <c r="J480" s="8"/>
    </row>
    <row r="481">
      <c r="A481" s="8"/>
      <c r="B481" s="8" t="str">
        <f>IF(ISBLANK(A481),"",VLOOKUP(A481,DOI_URL!$B$1:$C$74,2,FALSE()))</f>
        <v/>
      </c>
      <c r="C481" s="8"/>
      <c r="D481" s="8"/>
      <c r="I481" s="8"/>
      <c r="J481" s="8"/>
    </row>
    <row r="482">
      <c r="A482" s="8"/>
      <c r="B482" s="8" t="str">
        <f>IF(ISBLANK(A482),"",VLOOKUP(A482,DOI_URL!$B$1:$C$74,2,FALSE()))</f>
        <v/>
      </c>
      <c r="C482" s="8"/>
      <c r="D482" s="8"/>
      <c r="I482" s="8"/>
      <c r="J482" s="8"/>
    </row>
    <row r="483">
      <c r="A483" s="8"/>
      <c r="B483" s="8" t="str">
        <f>IF(ISBLANK(A483),"",VLOOKUP(A483,DOI_URL!$B$1:$C$74,2,FALSE()))</f>
        <v/>
      </c>
      <c r="C483" s="8"/>
      <c r="D483" s="8"/>
      <c r="I483" s="8"/>
      <c r="J483" s="8"/>
    </row>
    <row r="484">
      <c r="A484" s="8"/>
      <c r="B484" s="8" t="str">
        <f>IF(ISBLANK(A484),"",VLOOKUP(A484,DOI_URL!$B$1:$C$74,2,FALSE()))</f>
        <v/>
      </c>
      <c r="C484" s="8"/>
      <c r="D484" s="8"/>
      <c r="I484" s="8"/>
      <c r="J484" s="8"/>
    </row>
    <row r="485">
      <c r="A485" s="8"/>
      <c r="B485" s="8" t="str">
        <f>IF(ISBLANK(A485),"",VLOOKUP(A485,DOI_URL!$B$1:$C$74,2,FALSE()))</f>
        <v/>
      </c>
      <c r="C485" s="8"/>
      <c r="D485" s="8"/>
      <c r="I485" s="8"/>
      <c r="J485" s="8"/>
    </row>
    <row r="486">
      <c r="A486" s="8"/>
      <c r="B486" s="8" t="str">
        <f>IF(ISBLANK(A486),"",VLOOKUP(A486,DOI_URL!$B$1:$C$74,2,FALSE()))</f>
        <v/>
      </c>
      <c r="C486" s="8"/>
      <c r="D486" s="8"/>
      <c r="I486" s="8"/>
      <c r="J486" s="8"/>
    </row>
    <row r="487">
      <c r="A487" s="8"/>
      <c r="B487" s="8" t="str">
        <f>IF(ISBLANK(A487),"",VLOOKUP(A487,DOI_URL!$B$1:$C$74,2,FALSE()))</f>
        <v/>
      </c>
      <c r="C487" s="8"/>
      <c r="D487" s="8"/>
      <c r="I487" s="8"/>
      <c r="J487" s="8"/>
    </row>
    <row r="488">
      <c r="A488" s="8"/>
      <c r="B488" s="8" t="str">
        <f>IF(ISBLANK(A488),"",VLOOKUP(A488,DOI_URL!$B$1:$C$74,2,FALSE()))</f>
        <v/>
      </c>
      <c r="C488" s="8"/>
      <c r="D488" s="8"/>
      <c r="I488" s="8"/>
      <c r="J488" s="8"/>
    </row>
    <row r="489">
      <c r="A489" s="8"/>
      <c r="B489" s="8" t="str">
        <f>IF(ISBLANK(A489),"",VLOOKUP(A489,DOI_URL!$B$1:$C$74,2,FALSE()))</f>
        <v/>
      </c>
      <c r="C489" s="8"/>
      <c r="D489" s="8"/>
      <c r="I489" s="8"/>
      <c r="J489" s="8"/>
    </row>
    <row r="490">
      <c r="A490" s="8"/>
      <c r="B490" s="8" t="str">
        <f>IF(ISBLANK(A490),"",VLOOKUP(A490,DOI_URL!$B$1:$C$74,2,FALSE()))</f>
        <v/>
      </c>
      <c r="C490" s="8"/>
      <c r="D490" s="8"/>
      <c r="I490" s="8"/>
      <c r="J490" s="8"/>
    </row>
    <row r="491">
      <c r="A491" s="8"/>
      <c r="B491" s="8" t="str">
        <f>IF(ISBLANK(A491),"",VLOOKUP(A491,DOI_URL!$B$1:$C$74,2,FALSE()))</f>
        <v/>
      </c>
      <c r="C491" s="8"/>
      <c r="D491" s="8"/>
      <c r="I491" s="8"/>
      <c r="J491" s="8"/>
    </row>
    <row r="492">
      <c r="A492" s="8"/>
      <c r="B492" s="8" t="str">
        <f>IF(ISBLANK(A492),"",VLOOKUP(A492,DOI_URL!$B$1:$C$74,2,FALSE()))</f>
        <v/>
      </c>
      <c r="C492" s="8"/>
      <c r="D492" s="8"/>
      <c r="I492" s="8"/>
      <c r="J492" s="8"/>
    </row>
    <row r="493">
      <c r="A493" s="8"/>
      <c r="B493" s="8" t="str">
        <f>IF(ISBLANK(A493),"",VLOOKUP(A493,DOI_URL!$B$1:$C$74,2,FALSE()))</f>
        <v/>
      </c>
      <c r="C493" s="8"/>
      <c r="D493" s="8"/>
      <c r="I493" s="8"/>
      <c r="J493" s="8"/>
    </row>
    <row r="494">
      <c r="A494" s="8"/>
      <c r="B494" s="8" t="str">
        <f>IF(ISBLANK(A494),"",VLOOKUP(A494,DOI_URL!$B$1:$C$74,2,FALSE()))</f>
        <v/>
      </c>
      <c r="C494" s="8"/>
      <c r="D494" s="8"/>
      <c r="I494" s="8"/>
      <c r="J494" s="8"/>
    </row>
    <row r="495">
      <c r="A495" s="8"/>
      <c r="B495" s="8" t="str">
        <f>IF(ISBLANK(A495),"",VLOOKUP(A495,DOI_URL!$B$1:$C$74,2,FALSE()))</f>
        <v/>
      </c>
      <c r="C495" s="8"/>
      <c r="D495" s="8"/>
      <c r="I495" s="8"/>
      <c r="J495" s="8"/>
    </row>
    <row r="496">
      <c r="A496" s="8"/>
      <c r="B496" s="8" t="str">
        <f>IF(ISBLANK(A496),"",VLOOKUP(A496,DOI_URL!$B$1:$C$74,2,FALSE()))</f>
        <v/>
      </c>
      <c r="C496" s="8"/>
      <c r="D496" s="8"/>
      <c r="I496" s="8"/>
      <c r="J496" s="8"/>
    </row>
    <row r="497">
      <c r="A497" s="8"/>
      <c r="B497" s="8" t="str">
        <f>IF(ISBLANK(A497),"",VLOOKUP(A497,DOI_URL!$B$1:$C$74,2,FALSE()))</f>
        <v/>
      </c>
      <c r="C497" s="8"/>
      <c r="D497" s="8"/>
      <c r="I497" s="8"/>
      <c r="J497" s="8"/>
    </row>
    <row r="498">
      <c r="A498" s="8"/>
      <c r="B498" s="8" t="str">
        <f>IF(ISBLANK(A498),"",VLOOKUP(A498,DOI_URL!$B$1:$C$74,2,FALSE()))</f>
        <v/>
      </c>
      <c r="C498" s="8"/>
      <c r="D498" s="8"/>
      <c r="I498" s="8"/>
      <c r="J498" s="8"/>
    </row>
    <row r="499">
      <c r="A499" s="8"/>
      <c r="B499" s="8" t="str">
        <f>IF(ISBLANK(A499),"",VLOOKUP(A499,DOI_URL!$B$1:$C$74,2,FALSE()))</f>
        <v/>
      </c>
      <c r="C499" s="8"/>
      <c r="D499" s="8"/>
      <c r="I499" s="8"/>
      <c r="J499" s="8"/>
    </row>
    <row r="500">
      <c r="A500" s="8"/>
      <c r="B500" s="8" t="str">
        <f>IF(ISBLANK(A500),"",VLOOKUP(A500,DOI_URL!$B$1:$C$74,2,FALSE()))</f>
        <v/>
      </c>
      <c r="C500" s="8"/>
      <c r="D500" s="8"/>
      <c r="I500" s="8"/>
      <c r="J500" s="8"/>
    </row>
    <row r="501">
      <c r="A501" s="8"/>
      <c r="B501" s="8" t="str">
        <f>IF(ISBLANK(A501),"",VLOOKUP(A501,DOI_URL!$B$1:$C$74,2,FALSE()))</f>
        <v/>
      </c>
      <c r="C501" s="8"/>
      <c r="D501" s="8"/>
      <c r="I501" s="8"/>
      <c r="J501" s="8"/>
    </row>
    <row r="502">
      <c r="A502" s="8"/>
      <c r="B502" s="8" t="str">
        <f>IF(ISBLANK(A502),"",VLOOKUP(A502,DOI_URL!$B$1:$C$74,2,FALSE()))</f>
        <v/>
      </c>
      <c r="C502" s="8"/>
      <c r="D502" s="8"/>
      <c r="I502" s="8"/>
      <c r="J502" s="8"/>
    </row>
    <row r="503">
      <c r="A503" s="8"/>
      <c r="B503" s="8" t="str">
        <f>IF(ISBLANK(A503),"",VLOOKUP(A503,DOI_URL!$B$1:$C$74,2,FALSE()))</f>
        <v/>
      </c>
      <c r="C503" s="8"/>
      <c r="D503" s="8"/>
      <c r="I503" s="8"/>
      <c r="J503" s="8"/>
    </row>
    <row r="504">
      <c r="A504" s="8"/>
      <c r="B504" s="8" t="str">
        <f>IF(ISBLANK(A504),"",VLOOKUP(A504,DOI_URL!$B$1:$C$74,2,FALSE()))</f>
        <v/>
      </c>
      <c r="C504" s="8"/>
      <c r="D504" s="8"/>
      <c r="I504" s="8"/>
      <c r="J504" s="8"/>
    </row>
    <row r="505">
      <c r="A505" s="8"/>
      <c r="B505" s="8" t="str">
        <f>IF(ISBLANK(A505),"",VLOOKUP(A505,DOI_URL!$B$1:$C$74,2,FALSE()))</f>
        <v/>
      </c>
      <c r="C505" s="8"/>
      <c r="D505" s="8"/>
      <c r="I505" s="8"/>
      <c r="J505" s="8"/>
    </row>
    <row r="506">
      <c r="A506" s="8"/>
      <c r="B506" s="8" t="str">
        <f>IF(ISBLANK(A506),"",VLOOKUP(A506,DOI_URL!$B$1:$C$74,2,FALSE()))</f>
        <v/>
      </c>
      <c r="C506" s="8"/>
      <c r="D506" s="8"/>
      <c r="I506" s="8"/>
      <c r="J506" s="8"/>
    </row>
    <row r="507">
      <c r="A507" s="8"/>
      <c r="B507" s="8" t="str">
        <f>IF(ISBLANK(A507),"",VLOOKUP(A507,DOI_URL!$B$1:$C$74,2,FALSE()))</f>
        <v/>
      </c>
      <c r="C507" s="8"/>
      <c r="D507" s="8"/>
      <c r="I507" s="8"/>
      <c r="J507" s="8"/>
    </row>
    <row r="508">
      <c r="A508" s="8"/>
      <c r="B508" s="8" t="str">
        <f>IF(ISBLANK(A508),"",VLOOKUP(A508,DOI_URL!$B$1:$C$74,2,FALSE()))</f>
        <v/>
      </c>
      <c r="C508" s="8"/>
      <c r="D508" s="8"/>
      <c r="I508" s="8"/>
      <c r="J508" s="8"/>
    </row>
    <row r="509">
      <c r="A509" s="8"/>
      <c r="B509" s="8" t="str">
        <f>IF(ISBLANK(A509),"",VLOOKUP(A509,DOI_URL!$B$1:$C$74,2,FALSE()))</f>
        <v/>
      </c>
      <c r="C509" s="8"/>
      <c r="D509" s="8"/>
      <c r="I509" s="8"/>
      <c r="J509" s="8"/>
    </row>
    <row r="510">
      <c r="A510" s="8"/>
      <c r="B510" s="8" t="str">
        <f>IF(ISBLANK(A510),"",VLOOKUP(A510,DOI_URL!$B$1:$C$74,2,FALSE()))</f>
        <v/>
      </c>
      <c r="C510" s="8"/>
      <c r="D510" s="8"/>
      <c r="I510" s="8"/>
      <c r="J510" s="8"/>
    </row>
    <row r="511">
      <c r="A511" s="8"/>
      <c r="B511" s="8" t="str">
        <f>IF(ISBLANK(A511),"",VLOOKUP(A511,DOI_URL!$B$1:$C$74,2,FALSE()))</f>
        <v/>
      </c>
      <c r="C511" s="8"/>
      <c r="D511" s="8"/>
      <c r="I511" s="8"/>
      <c r="J511" s="8"/>
    </row>
    <row r="512">
      <c r="A512" s="8"/>
      <c r="B512" s="8" t="str">
        <f>IF(ISBLANK(A512),"",VLOOKUP(A512,DOI_URL!$B$1:$C$74,2,FALSE()))</f>
        <v/>
      </c>
      <c r="C512" s="8"/>
      <c r="D512" s="8"/>
      <c r="I512" s="8"/>
      <c r="J512" s="8"/>
    </row>
    <row r="513">
      <c r="A513" s="8"/>
      <c r="B513" s="8" t="str">
        <f>IF(ISBLANK(A513),"",VLOOKUP(A513,DOI_URL!$B$1:$C$74,2,FALSE()))</f>
        <v/>
      </c>
      <c r="C513" s="8"/>
      <c r="D513" s="8"/>
      <c r="I513" s="8"/>
      <c r="J513" s="8"/>
    </row>
    <row r="514">
      <c r="A514" s="8"/>
      <c r="B514" s="8" t="str">
        <f>IF(ISBLANK(A514),"",VLOOKUP(A514,DOI_URL!$B$1:$C$74,2,FALSE()))</f>
        <v/>
      </c>
      <c r="C514" s="8"/>
      <c r="D514" s="8"/>
      <c r="I514" s="8"/>
      <c r="J514" s="8"/>
    </row>
    <row r="515">
      <c r="A515" s="8"/>
      <c r="B515" s="8" t="str">
        <f>IF(ISBLANK(A515),"",VLOOKUP(A515,DOI_URL!$B$1:$C$74,2,FALSE()))</f>
        <v/>
      </c>
      <c r="C515" s="8"/>
      <c r="D515" s="8"/>
      <c r="I515" s="8"/>
      <c r="J515" s="8"/>
    </row>
    <row r="516">
      <c r="A516" s="8"/>
      <c r="B516" s="8" t="str">
        <f>IF(ISBLANK(A516),"",VLOOKUP(A516,DOI_URL!$B$1:$C$74,2,FALSE()))</f>
        <v/>
      </c>
      <c r="C516" s="8"/>
      <c r="D516" s="8"/>
      <c r="I516" s="8"/>
      <c r="J516" s="8"/>
    </row>
    <row r="517">
      <c r="A517" s="8"/>
      <c r="B517" s="8" t="str">
        <f>IF(ISBLANK(A517),"",VLOOKUP(A517,DOI_URL!$B$1:$C$74,2,FALSE()))</f>
        <v/>
      </c>
      <c r="C517" s="8"/>
      <c r="D517" s="8"/>
      <c r="I517" s="8"/>
      <c r="J517" s="8"/>
    </row>
    <row r="518">
      <c r="A518" s="8"/>
      <c r="B518" s="8" t="str">
        <f>IF(ISBLANK(A518),"",VLOOKUP(A518,DOI_URL!$B$1:$C$74,2,FALSE()))</f>
        <v/>
      </c>
      <c r="C518" s="8"/>
      <c r="D518" s="8"/>
      <c r="I518" s="8"/>
      <c r="J518" s="8"/>
    </row>
    <row r="519">
      <c r="A519" s="8"/>
      <c r="B519" s="8" t="str">
        <f>IF(ISBLANK(A519),"",VLOOKUP(A519,DOI_URL!$B$1:$C$74,2,FALSE()))</f>
        <v/>
      </c>
      <c r="C519" s="8"/>
      <c r="D519" s="8"/>
      <c r="I519" s="8"/>
      <c r="J519" s="8"/>
    </row>
    <row r="520">
      <c r="A520" s="8"/>
      <c r="B520" s="8" t="str">
        <f>IF(ISBLANK(A520),"",VLOOKUP(A520,DOI_URL!$B$1:$C$74,2,FALSE()))</f>
        <v/>
      </c>
      <c r="C520" s="8"/>
      <c r="D520" s="8"/>
      <c r="I520" s="8"/>
      <c r="J520" s="8"/>
    </row>
    <row r="521">
      <c r="A521" s="8"/>
      <c r="B521" s="8" t="str">
        <f>IF(ISBLANK(A521),"",VLOOKUP(A521,DOI_URL!$B$1:$C$74,2,FALSE()))</f>
        <v/>
      </c>
      <c r="C521" s="8"/>
      <c r="D521" s="8"/>
      <c r="I521" s="8"/>
      <c r="J521" s="8"/>
    </row>
    <row r="522">
      <c r="A522" s="8"/>
      <c r="B522" s="8" t="str">
        <f>IF(ISBLANK(A522),"",VLOOKUP(A522,DOI_URL!$B$1:$C$74,2,FALSE()))</f>
        <v/>
      </c>
      <c r="C522" s="8"/>
      <c r="D522" s="8"/>
      <c r="I522" s="8"/>
      <c r="J522" s="8"/>
    </row>
    <row r="523">
      <c r="A523" s="8"/>
      <c r="B523" s="8" t="str">
        <f>IF(ISBLANK(A523),"",VLOOKUP(A523,DOI_URL!$B$1:$C$74,2,FALSE()))</f>
        <v/>
      </c>
      <c r="C523" s="8"/>
      <c r="D523" s="8"/>
      <c r="I523" s="8"/>
      <c r="J523" s="8"/>
    </row>
    <row r="524">
      <c r="A524" s="8"/>
      <c r="B524" s="8" t="str">
        <f>IF(ISBLANK(A524),"",VLOOKUP(A524,DOI_URL!$B$1:$C$74,2,FALSE()))</f>
        <v/>
      </c>
      <c r="C524" s="8"/>
      <c r="D524" s="8"/>
      <c r="I524" s="8"/>
      <c r="J524" s="8"/>
    </row>
    <row r="525">
      <c r="A525" s="8"/>
      <c r="B525" s="8" t="str">
        <f>IF(ISBLANK(A525),"",VLOOKUP(A525,DOI_URL!$B$1:$C$74,2,FALSE()))</f>
        <v/>
      </c>
      <c r="C525" s="8"/>
      <c r="D525" s="8"/>
      <c r="I525" s="8"/>
      <c r="J525" s="8"/>
    </row>
    <row r="526">
      <c r="A526" s="8"/>
      <c r="B526" s="8" t="str">
        <f>IF(ISBLANK(A526),"",VLOOKUP(A526,DOI_URL!$B$1:$C$74,2,FALSE()))</f>
        <v/>
      </c>
      <c r="C526" s="8"/>
      <c r="D526" s="8"/>
      <c r="I526" s="8"/>
      <c r="J526" s="8"/>
    </row>
    <row r="527">
      <c r="A527" s="8"/>
      <c r="B527" s="8" t="str">
        <f>IF(ISBLANK(A527),"",VLOOKUP(A527,DOI_URL!$B$1:$C$74,2,FALSE()))</f>
        <v/>
      </c>
      <c r="C527" s="8"/>
      <c r="D527" s="8"/>
      <c r="I527" s="8"/>
      <c r="J527" s="8"/>
    </row>
    <row r="528">
      <c r="A528" s="8"/>
      <c r="B528" s="8" t="str">
        <f>IF(ISBLANK(A528),"",VLOOKUP(A528,DOI_URL!$B$1:$C$74,2,FALSE()))</f>
        <v/>
      </c>
      <c r="C528" s="8"/>
      <c r="D528" s="8"/>
      <c r="I528" s="8"/>
      <c r="J528" s="8"/>
    </row>
    <row r="529">
      <c r="A529" s="8"/>
      <c r="B529" s="8" t="str">
        <f>IF(ISBLANK(A529),"",VLOOKUP(A529,DOI_URL!$B$1:$C$74,2,FALSE()))</f>
        <v/>
      </c>
      <c r="C529" s="8"/>
      <c r="D529" s="8"/>
      <c r="I529" s="8"/>
      <c r="J529" s="8"/>
    </row>
    <row r="530">
      <c r="A530" s="8"/>
      <c r="B530" s="8" t="str">
        <f>IF(ISBLANK(A530),"",VLOOKUP(A530,DOI_URL!$B$1:$C$74,2,FALSE()))</f>
        <v/>
      </c>
      <c r="C530" s="8"/>
      <c r="D530" s="8"/>
      <c r="I530" s="8"/>
      <c r="J530" s="8"/>
    </row>
    <row r="531">
      <c r="A531" s="8"/>
      <c r="B531" s="8" t="str">
        <f>IF(ISBLANK(A531),"",VLOOKUP(A531,DOI_URL!$B$1:$C$74,2,FALSE()))</f>
        <v/>
      </c>
      <c r="C531" s="8"/>
      <c r="D531" s="8"/>
      <c r="I531" s="8"/>
      <c r="J531" s="8"/>
    </row>
    <row r="532">
      <c r="A532" s="8"/>
      <c r="B532" s="8" t="str">
        <f>IF(ISBLANK(A532),"",VLOOKUP(A532,DOI_URL!$B$1:$C$74,2,FALSE()))</f>
        <v/>
      </c>
      <c r="C532" s="8"/>
      <c r="D532" s="8"/>
      <c r="I532" s="8"/>
      <c r="J532" s="8"/>
    </row>
    <row r="533">
      <c r="A533" s="8"/>
      <c r="B533" s="8" t="str">
        <f>IF(ISBLANK(A533),"",VLOOKUP(A533,DOI_URL!$B$1:$C$74,2,FALSE()))</f>
        <v/>
      </c>
      <c r="C533" s="8"/>
      <c r="D533" s="8"/>
      <c r="I533" s="8"/>
      <c r="J533" s="8"/>
    </row>
    <row r="534">
      <c r="A534" s="8"/>
      <c r="B534" s="8" t="str">
        <f>IF(ISBLANK(A534),"",VLOOKUP(A534,DOI_URL!$B$1:$C$74,2,FALSE()))</f>
        <v/>
      </c>
      <c r="C534" s="8"/>
      <c r="D534" s="8"/>
      <c r="I534" s="8"/>
      <c r="J534" s="8"/>
    </row>
    <row r="535">
      <c r="A535" s="8"/>
      <c r="B535" s="8" t="str">
        <f>IF(ISBLANK(A535),"",VLOOKUP(A535,DOI_URL!$B$1:$C$74,2,FALSE()))</f>
        <v/>
      </c>
      <c r="C535" s="8"/>
      <c r="D535" s="8"/>
      <c r="I535" s="8"/>
      <c r="J535" s="8"/>
    </row>
    <row r="536">
      <c r="A536" s="8"/>
      <c r="B536" s="8" t="str">
        <f>IF(ISBLANK(A536),"",VLOOKUP(A536,DOI_URL!$B$1:$C$74,2,FALSE()))</f>
        <v/>
      </c>
      <c r="C536" s="8"/>
      <c r="D536" s="8"/>
      <c r="I536" s="8"/>
      <c r="J536" s="8"/>
    </row>
    <row r="537">
      <c r="A537" s="8"/>
      <c r="B537" s="8" t="str">
        <f>IF(ISBLANK(A537),"",VLOOKUP(A537,DOI_URL!$B$1:$C$74,2,FALSE()))</f>
        <v/>
      </c>
      <c r="C537" s="8"/>
      <c r="D537" s="8"/>
      <c r="I537" s="8"/>
      <c r="J537" s="8"/>
    </row>
    <row r="538">
      <c r="A538" s="8"/>
      <c r="B538" s="8" t="str">
        <f>IF(ISBLANK(A538),"",VLOOKUP(A538,DOI_URL!$B$1:$C$74,2,FALSE()))</f>
        <v/>
      </c>
      <c r="C538" s="8"/>
      <c r="D538" s="8"/>
      <c r="I538" s="8"/>
      <c r="J538" s="8"/>
    </row>
    <row r="539">
      <c r="A539" s="8"/>
      <c r="B539" s="8" t="str">
        <f>IF(ISBLANK(A539),"",VLOOKUP(A539,DOI_URL!$B$1:$C$74,2,FALSE()))</f>
        <v/>
      </c>
      <c r="C539" s="8"/>
      <c r="D539" s="8"/>
      <c r="I539" s="8"/>
      <c r="J539" s="8"/>
    </row>
    <row r="540">
      <c r="A540" s="8"/>
      <c r="B540" s="8" t="str">
        <f>IF(ISBLANK(A540),"",VLOOKUP(A540,DOI_URL!$B$1:$C$74,2,FALSE()))</f>
        <v/>
      </c>
      <c r="C540" s="8"/>
      <c r="D540" s="8"/>
      <c r="I540" s="8"/>
      <c r="J540" s="8"/>
    </row>
    <row r="541">
      <c r="A541" s="8"/>
      <c r="B541" s="8" t="str">
        <f>IF(ISBLANK(A541),"",VLOOKUP(A541,DOI_URL!$B$1:$C$74,2,FALSE()))</f>
        <v/>
      </c>
      <c r="C541" s="8"/>
      <c r="D541" s="8"/>
      <c r="I541" s="8"/>
      <c r="J541" s="8"/>
    </row>
    <row r="542">
      <c r="A542" s="8"/>
      <c r="B542" s="8" t="str">
        <f>IF(ISBLANK(A542),"",VLOOKUP(A542,DOI_URL!$B$1:$C$74,2,FALSE()))</f>
        <v/>
      </c>
      <c r="C542" s="8"/>
      <c r="D542" s="8"/>
      <c r="I542" s="8"/>
      <c r="J542" s="8"/>
    </row>
    <row r="543">
      <c r="A543" s="8"/>
      <c r="B543" s="8" t="str">
        <f>IF(ISBLANK(A543),"",VLOOKUP(A543,DOI_URL!$B$1:$C$74,2,FALSE()))</f>
        <v/>
      </c>
      <c r="C543" s="8"/>
      <c r="D543" s="8"/>
      <c r="I543" s="8"/>
      <c r="J543" s="8"/>
    </row>
    <row r="544">
      <c r="A544" s="8"/>
      <c r="B544" s="8" t="str">
        <f>IF(ISBLANK(A544),"",VLOOKUP(A544,DOI_URL!$B$1:$C$74,2,FALSE()))</f>
        <v/>
      </c>
      <c r="C544" s="8"/>
      <c r="D544" s="8"/>
      <c r="I544" s="8"/>
      <c r="J544" s="8"/>
    </row>
    <row r="545">
      <c r="A545" s="8"/>
      <c r="B545" s="8" t="str">
        <f>IF(ISBLANK(A545),"",VLOOKUP(A545,DOI_URL!$B$1:$C$74,2,FALSE()))</f>
        <v/>
      </c>
      <c r="C545" s="8"/>
      <c r="D545" s="8"/>
      <c r="I545" s="8"/>
      <c r="J545" s="8"/>
    </row>
    <row r="546">
      <c r="A546" s="8"/>
      <c r="B546" s="8" t="str">
        <f>IF(ISBLANK(A546),"",VLOOKUP(A546,DOI_URL!$B$1:$C$74,2,FALSE()))</f>
        <v/>
      </c>
      <c r="C546" s="8"/>
      <c r="D546" s="8"/>
      <c r="I546" s="8"/>
      <c r="J546" s="8"/>
    </row>
    <row r="547">
      <c r="A547" s="8"/>
      <c r="B547" s="8" t="str">
        <f>IF(ISBLANK(A547),"",VLOOKUP(A547,DOI_URL!$B$1:$C$74,2,FALSE()))</f>
        <v/>
      </c>
      <c r="C547" s="8"/>
      <c r="D547" s="8"/>
      <c r="I547" s="8"/>
      <c r="J547" s="8"/>
    </row>
    <row r="548">
      <c r="A548" s="8"/>
      <c r="B548" s="8" t="str">
        <f>IF(ISBLANK(A548),"",VLOOKUP(A548,DOI_URL!$B$1:$C$74,2,FALSE()))</f>
        <v/>
      </c>
      <c r="C548" s="8"/>
      <c r="D548" s="8"/>
      <c r="I548" s="8"/>
      <c r="J548" s="8"/>
    </row>
    <row r="549">
      <c r="A549" s="8"/>
      <c r="B549" s="8" t="str">
        <f>IF(ISBLANK(A549),"",VLOOKUP(A549,DOI_URL!$B$1:$C$74,2,FALSE()))</f>
        <v/>
      </c>
      <c r="C549" s="8"/>
      <c r="D549" s="8"/>
      <c r="I549" s="8"/>
      <c r="J549" s="8"/>
    </row>
    <row r="550">
      <c r="A550" s="8"/>
      <c r="B550" s="8" t="str">
        <f>IF(ISBLANK(A550),"",VLOOKUP(A550,DOI_URL!$B$1:$C$74,2,FALSE()))</f>
        <v/>
      </c>
      <c r="C550" s="8"/>
      <c r="D550" s="8"/>
      <c r="I550" s="8"/>
      <c r="J550" s="8"/>
    </row>
    <row r="551">
      <c r="A551" s="8"/>
      <c r="B551" s="8" t="str">
        <f>IF(ISBLANK(A551),"",VLOOKUP(A551,DOI_URL!$B$1:$C$74,2,FALSE()))</f>
        <v/>
      </c>
      <c r="C551" s="8"/>
      <c r="D551" s="8"/>
      <c r="I551" s="8"/>
      <c r="J551" s="8"/>
    </row>
    <row r="552">
      <c r="A552" s="8"/>
      <c r="B552" s="8" t="str">
        <f>IF(ISBLANK(A552),"",VLOOKUP(A552,DOI_URL!$B$1:$C$74,2,FALSE()))</f>
        <v/>
      </c>
      <c r="C552" s="8"/>
      <c r="D552" s="8"/>
      <c r="I552" s="8"/>
      <c r="J552" s="8"/>
    </row>
    <row r="553">
      <c r="A553" s="8"/>
      <c r="B553" s="8" t="str">
        <f>IF(ISBLANK(A553),"",VLOOKUP(A553,DOI_URL!$B$1:$C$74,2,FALSE()))</f>
        <v/>
      </c>
      <c r="C553" s="8"/>
      <c r="D553" s="8"/>
      <c r="I553" s="8"/>
      <c r="J553" s="8"/>
    </row>
    <row r="554">
      <c r="A554" s="8"/>
      <c r="B554" s="8" t="str">
        <f>IF(ISBLANK(A554),"",VLOOKUP(A554,DOI_URL!$B$1:$C$74,2,FALSE()))</f>
        <v/>
      </c>
      <c r="C554" s="8"/>
      <c r="D554" s="8"/>
      <c r="I554" s="8"/>
      <c r="J554" s="8"/>
    </row>
    <row r="555">
      <c r="A555" s="8"/>
      <c r="B555" s="8" t="str">
        <f>IF(ISBLANK(A555),"",VLOOKUP(A555,DOI_URL!$B$1:$C$74,2,FALSE()))</f>
        <v/>
      </c>
      <c r="C555" s="8"/>
      <c r="D555" s="8"/>
      <c r="I555" s="8"/>
      <c r="J555" s="8"/>
    </row>
    <row r="556">
      <c r="A556" s="8"/>
      <c r="B556" s="8" t="str">
        <f>IF(ISBLANK(A556),"",VLOOKUP(A556,DOI_URL!$B$1:$C$74,2,FALSE()))</f>
        <v/>
      </c>
      <c r="C556" s="8"/>
      <c r="D556" s="8"/>
      <c r="I556" s="8"/>
      <c r="J556" s="8"/>
    </row>
    <row r="557">
      <c r="A557" s="8"/>
      <c r="B557" s="8" t="str">
        <f>IF(ISBLANK(A557),"",VLOOKUP(A557,DOI_URL!$B$1:$C$74,2,FALSE()))</f>
        <v/>
      </c>
      <c r="C557" s="8"/>
      <c r="D557" s="8"/>
      <c r="I557" s="8"/>
      <c r="J557" s="8"/>
    </row>
    <row r="558">
      <c r="A558" s="8"/>
      <c r="B558" s="8" t="str">
        <f>IF(ISBLANK(A558),"",VLOOKUP(A558,DOI_URL!$B$1:$C$74,2,FALSE()))</f>
        <v/>
      </c>
      <c r="C558" s="8"/>
      <c r="D558" s="8"/>
      <c r="I558" s="8"/>
      <c r="J558" s="8"/>
    </row>
    <row r="559">
      <c r="A559" s="8"/>
      <c r="B559" s="8" t="str">
        <f>IF(ISBLANK(A559),"",VLOOKUP(A559,DOI_URL!$B$1:$C$74,2,FALSE()))</f>
        <v/>
      </c>
      <c r="C559" s="8"/>
      <c r="D559" s="8"/>
      <c r="I559" s="8"/>
      <c r="J559" s="8"/>
    </row>
    <row r="560">
      <c r="A560" s="8"/>
      <c r="B560" s="8" t="str">
        <f>IF(ISBLANK(A560),"",VLOOKUP(A560,DOI_URL!$B$1:$C$74,2,FALSE()))</f>
        <v/>
      </c>
      <c r="C560" s="8"/>
      <c r="D560" s="8"/>
      <c r="I560" s="8"/>
      <c r="J560" s="8"/>
    </row>
    <row r="561">
      <c r="A561" s="8"/>
      <c r="B561" s="8" t="str">
        <f>IF(ISBLANK(A561),"",VLOOKUP(A561,DOI_URL!$B$1:$C$74,2,FALSE()))</f>
        <v/>
      </c>
      <c r="C561" s="8"/>
      <c r="D561" s="8"/>
      <c r="I561" s="8"/>
      <c r="J561" s="8"/>
    </row>
    <row r="562">
      <c r="A562" s="8"/>
      <c r="B562" s="8" t="str">
        <f>IF(ISBLANK(A562),"",VLOOKUP(A562,DOI_URL!$B$1:$C$74,2,FALSE()))</f>
        <v/>
      </c>
      <c r="C562" s="8"/>
      <c r="D562" s="8"/>
      <c r="I562" s="8"/>
      <c r="J562" s="8"/>
    </row>
    <row r="563">
      <c r="A563" s="8"/>
      <c r="B563" s="8" t="str">
        <f>IF(ISBLANK(A563),"",VLOOKUP(A563,DOI_URL!$B$1:$C$74,2,FALSE()))</f>
        <v/>
      </c>
      <c r="C563" s="8"/>
      <c r="D563" s="8"/>
      <c r="I563" s="8"/>
      <c r="J563" s="8"/>
    </row>
    <row r="564">
      <c r="A564" s="8"/>
      <c r="B564" s="8" t="str">
        <f>IF(ISBLANK(A564),"",VLOOKUP(A564,DOI_URL!$B$1:$C$74,2,FALSE()))</f>
        <v/>
      </c>
      <c r="C564" s="8"/>
      <c r="D564" s="8"/>
      <c r="I564" s="8"/>
      <c r="J564" s="8"/>
    </row>
    <row r="565">
      <c r="A565" s="8"/>
      <c r="B565" s="8" t="str">
        <f>IF(ISBLANK(A565),"",VLOOKUP(A565,DOI_URL!$B$1:$C$74,2,FALSE()))</f>
        <v/>
      </c>
      <c r="C565" s="8"/>
      <c r="D565" s="8"/>
      <c r="I565" s="8"/>
      <c r="J565" s="8"/>
    </row>
    <row r="566">
      <c r="A566" s="8"/>
      <c r="B566" s="8" t="str">
        <f>IF(ISBLANK(A566),"",VLOOKUP(A566,DOI_URL!$B$1:$C$74,2,FALSE()))</f>
        <v/>
      </c>
      <c r="C566" s="8"/>
      <c r="D566" s="8"/>
      <c r="I566" s="8"/>
      <c r="J566" s="8"/>
    </row>
    <row r="567">
      <c r="A567" s="8"/>
      <c r="B567" s="8" t="str">
        <f>IF(ISBLANK(A567),"",VLOOKUP(A567,DOI_URL!$B$1:$C$74,2,FALSE()))</f>
        <v/>
      </c>
      <c r="C567" s="8"/>
      <c r="D567" s="8"/>
      <c r="I567" s="8"/>
      <c r="J567" s="8"/>
    </row>
    <row r="568">
      <c r="A568" s="8"/>
      <c r="B568" s="8" t="str">
        <f>IF(ISBLANK(A568),"",VLOOKUP(A568,DOI_URL!$B$1:$C$74,2,FALSE()))</f>
        <v/>
      </c>
      <c r="C568" s="8"/>
      <c r="D568" s="8"/>
      <c r="I568" s="8"/>
      <c r="J568" s="8"/>
    </row>
    <row r="569">
      <c r="A569" s="8"/>
      <c r="B569" s="8" t="str">
        <f>IF(ISBLANK(A569),"",VLOOKUP(A569,DOI_URL!$B$1:$C$74,2,FALSE()))</f>
        <v/>
      </c>
      <c r="C569" s="8"/>
      <c r="D569" s="8"/>
      <c r="I569" s="8"/>
      <c r="J569" s="8"/>
    </row>
    <row r="570">
      <c r="A570" s="8"/>
      <c r="B570" s="8" t="str">
        <f>IF(ISBLANK(A570),"",VLOOKUP(A570,DOI_URL!$B$1:$C$74,2,FALSE()))</f>
        <v/>
      </c>
      <c r="C570" s="8"/>
      <c r="D570" s="8"/>
      <c r="I570" s="8"/>
      <c r="J570" s="8"/>
    </row>
    <row r="571">
      <c r="A571" s="8"/>
      <c r="B571" s="8" t="str">
        <f>IF(ISBLANK(A571),"",VLOOKUP(A571,DOI_URL!$B$1:$C$74,2,FALSE()))</f>
        <v/>
      </c>
      <c r="C571" s="8"/>
      <c r="D571" s="8"/>
      <c r="I571" s="8"/>
      <c r="J571" s="8"/>
    </row>
    <row r="572">
      <c r="A572" s="8"/>
      <c r="B572" s="8" t="str">
        <f>IF(ISBLANK(A572),"",VLOOKUP(A572,DOI_URL!$B$1:$C$74,2,FALSE()))</f>
        <v/>
      </c>
      <c r="C572" s="8"/>
      <c r="D572" s="8"/>
      <c r="I572" s="8"/>
      <c r="J572" s="8"/>
    </row>
    <row r="573">
      <c r="A573" s="8"/>
      <c r="B573" s="8" t="str">
        <f>IF(ISBLANK(A573),"",VLOOKUP(A573,DOI_URL!$B$1:$C$74,2,FALSE()))</f>
        <v/>
      </c>
      <c r="C573" s="8"/>
      <c r="D573" s="8"/>
      <c r="I573" s="8"/>
      <c r="J573" s="8"/>
    </row>
    <row r="574">
      <c r="A574" s="8"/>
      <c r="B574" s="8" t="str">
        <f>IF(ISBLANK(A574),"",VLOOKUP(A574,DOI_URL!$B$1:$C$74,2,FALSE()))</f>
        <v/>
      </c>
      <c r="C574" s="8"/>
      <c r="D574" s="8"/>
      <c r="I574" s="8"/>
      <c r="J574" s="8"/>
    </row>
    <row r="575">
      <c r="A575" s="8"/>
      <c r="B575" s="8" t="str">
        <f>IF(ISBLANK(A575),"",VLOOKUP(A575,DOI_URL!$B$1:$C$74,2,FALSE()))</f>
        <v/>
      </c>
      <c r="C575" s="8"/>
      <c r="D575" s="8"/>
      <c r="I575" s="8"/>
      <c r="J575" s="8"/>
    </row>
    <row r="576">
      <c r="A576" s="8"/>
      <c r="B576" s="8" t="str">
        <f>IF(ISBLANK(A576),"",VLOOKUP(A576,DOI_URL!$B$1:$C$74,2,FALSE()))</f>
        <v/>
      </c>
      <c r="C576" s="8"/>
      <c r="D576" s="8"/>
      <c r="I576" s="8"/>
      <c r="J576" s="8"/>
    </row>
    <row r="577">
      <c r="A577" s="8"/>
      <c r="B577" s="8" t="str">
        <f>IF(ISBLANK(A577),"",VLOOKUP(A577,DOI_URL!$B$1:$C$74,2,FALSE()))</f>
        <v/>
      </c>
      <c r="C577" s="8"/>
      <c r="D577" s="8"/>
      <c r="I577" s="8"/>
      <c r="J577" s="8"/>
    </row>
    <row r="578">
      <c r="A578" s="8"/>
      <c r="B578" s="8" t="str">
        <f>IF(ISBLANK(A578),"",VLOOKUP(A578,DOI_URL!$B$1:$C$74,2,FALSE()))</f>
        <v/>
      </c>
      <c r="C578" s="8"/>
      <c r="D578" s="8"/>
      <c r="I578" s="8"/>
      <c r="J578" s="8"/>
    </row>
    <row r="579">
      <c r="A579" s="8"/>
      <c r="B579" s="8" t="str">
        <f>IF(ISBLANK(A579),"",VLOOKUP(A579,DOI_URL!$B$1:$C$74,2,FALSE()))</f>
        <v/>
      </c>
      <c r="C579" s="8"/>
      <c r="D579" s="8"/>
      <c r="I579" s="8"/>
      <c r="J579" s="8"/>
    </row>
    <row r="580">
      <c r="A580" s="8"/>
      <c r="B580" s="8" t="str">
        <f>IF(ISBLANK(A580),"",VLOOKUP(A580,DOI_URL!$B$1:$C$74,2,FALSE()))</f>
        <v/>
      </c>
      <c r="C580" s="8"/>
      <c r="D580" s="8"/>
      <c r="I580" s="8"/>
      <c r="J580" s="8"/>
    </row>
    <row r="581">
      <c r="A581" s="8"/>
      <c r="B581" s="8" t="str">
        <f>IF(ISBLANK(A581),"",VLOOKUP(A581,DOI_URL!$B$1:$C$74,2,FALSE()))</f>
        <v/>
      </c>
      <c r="C581" s="8"/>
      <c r="D581" s="8"/>
      <c r="I581" s="8"/>
      <c r="J581" s="8"/>
    </row>
    <row r="582">
      <c r="A582" s="8"/>
      <c r="B582" s="8" t="str">
        <f>IF(ISBLANK(A582),"",VLOOKUP(A582,DOI_URL!$B$1:$C$74,2,FALSE()))</f>
        <v/>
      </c>
      <c r="C582" s="8"/>
      <c r="D582" s="8"/>
      <c r="I582" s="8"/>
      <c r="J582" s="8"/>
    </row>
    <row r="583">
      <c r="A583" s="8"/>
      <c r="B583" s="8" t="str">
        <f>IF(ISBLANK(A583),"",VLOOKUP(A583,DOI_URL!$B$1:$C$74,2,FALSE()))</f>
        <v/>
      </c>
      <c r="C583" s="8"/>
      <c r="D583" s="8"/>
      <c r="I583" s="8"/>
      <c r="J583" s="8"/>
    </row>
    <row r="584">
      <c r="A584" s="8"/>
      <c r="B584" s="8" t="str">
        <f>IF(ISBLANK(A584),"",VLOOKUP(A584,DOI_URL!$B$1:$C$74,2,FALSE()))</f>
        <v/>
      </c>
      <c r="C584" s="8"/>
      <c r="D584" s="8"/>
      <c r="I584" s="8"/>
      <c r="J584" s="8"/>
    </row>
    <row r="585">
      <c r="A585" s="8"/>
      <c r="B585" s="8" t="str">
        <f>IF(ISBLANK(A585),"",VLOOKUP(A585,DOI_URL!$B$1:$C$74,2,FALSE()))</f>
        <v/>
      </c>
      <c r="C585" s="8"/>
      <c r="D585" s="8"/>
      <c r="I585" s="8"/>
      <c r="J585" s="8"/>
    </row>
    <row r="586">
      <c r="A586" s="8"/>
      <c r="B586" s="8" t="str">
        <f>IF(ISBLANK(A586),"",VLOOKUP(A586,DOI_URL!$B$1:$C$74,2,FALSE()))</f>
        <v/>
      </c>
      <c r="C586" s="8"/>
      <c r="D586" s="8"/>
      <c r="I586" s="8"/>
      <c r="J586" s="8"/>
    </row>
    <row r="587">
      <c r="A587" s="8"/>
      <c r="B587" s="8" t="str">
        <f>IF(ISBLANK(A587),"",VLOOKUP(A587,DOI_URL!$B$1:$C$74,2,FALSE()))</f>
        <v/>
      </c>
      <c r="C587" s="8"/>
      <c r="D587" s="8"/>
      <c r="I587" s="8"/>
      <c r="J587" s="8"/>
    </row>
    <row r="588">
      <c r="A588" s="8"/>
      <c r="B588" s="8" t="str">
        <f>IF(ISBLANK(A588),"",VLOOKUP(A588,DOI_URL!$B$1:$C$74,2,FALSE()))</f>
        <v/>
      </c>
      <c r="C588" s="8"/>
      <c r="D588" s="8"/>
      <c r="I588" s="8"/>
      <c r="J588" s="8"/>
    </row>
    <row r="589">
      <c r="A589" s="8"/>
      <c r="B589" s="8" t="str">
        <f>IF(ISBLANK(A589),"",VLOOKUP(A589,DOI_URL!$B$1:$C$74,2,FALSE()))</f>
        <v/>
      </c>
      <c r="C589" s="8"/>
      <c r="D589" s="8"/>
      <c r="I589" s="8"/>
      <c r="J589" s="8"/>
    </row>
    <row r="590">
      <c r="A590" s="8"/>
      <c r="B590" s="8" t="str">
        <f>IF(ISBLANK(A590),"",VLOOKUP(A590,DOI_URL!$B$1:$C$74,2,FALSE()))</f>
        <v/>
      </c>
      <c r="C590" s="8"/>
      <c r="D590" s="8"/>
      <c r="I590" s="8"/>
      <c r="J590" s="8"/>
    </row>
    <row r="591">
      <c r="A591" s="8"/>
      <c r="B591" s="8" t="str">
        <f>IF(ISBLANK(A591),"",VLOOKUP(A591,DOI_URL!$B$1:$C$74,2,FALSE()))</f>
        <v/>
      </c>
      <c r="C591" s="8"/>
      <c r="D591" s="8"/>
      <c r="I591" s="8"/>
      <c r="J591" s="8"/>
    </row>
    <row r="592">
      <c r="A592" s="8"/>
      <c r="B592" s="8" t="str">
        <f>IF(ISBLANK(A592),"",VLOOKUP(A592,DOI_URL!$B$1:$C$74,2,FALSE()))</f>
        <v/>
      </c>
      <c r="C592" s="8"/>
      <c r="D592" s="8"/>
      <c r="I592" s="8"/>
      <c r="J592" s="8"/>
    </row>
    <row r="593">
      <c r="A593" s="8"/>
      <c r="B593" s="8" t="str">
        <f>IF(ISBLANK(A593),"",VLOOKUP(A593,DOI_URL!$B$1:$C$74,2,FALSE()))</f>
        <v/>
      </c>
      <c r="C593" s="8"/>
      <c r="D593" s="8"/>
      <c r="I593" s="8"/>
      <c r="J593" s="8"/>
    </row>
    <row r="594">
      <c r="A594" s="8"/>
      <c r="B594" s="8" t="str">
        <f>IF(ISBLANK(A594),"",VLOOKUP(A594,DOI_URL!$B$1:$C$74,2,FALSE()))</f>
        <v/>
      </c>
      <c r="C594" s="8"/>
      <c r="D594" s="8"/>
      <c r="I594" s="8"/>
      <c r="J594" s="8"/>
    </row>
    <row r="595">
      <c r="A595" s="8"/>
      <c r="B595" s="8" t="str">
        <f>IF(ISBLANK(A595),"",VLOOKUP(A595,DOI_URL!$B$1:$C$74,2,FALSE()))</f>
        <v/>
      </c>
      <c r="C595" s="8"/>
      <c r="D595" s="8"/>
      <c r="I595" s="8"/>
      <c r="J595" s="8"/>
    </row>
    <row r="596">
      <c r="A596" s="8"/>
      <c r="B596" s="8" t="str">
        <f>IF(ISBLANK(A596),"",VLOOKUP(A596,DOI_URL!$B$1:$C$74,2,FALSE()))</f>
        <v/>
      </c>
      <c r="C596" s="8"/>
      <c r="D596" s="8"/>
      <c r="I596" s="8"/>
      <c r="J596" s="8"/>
    </row>
    <row r="597">
      <c r="A597" s="8"/>
      <c r="B597" s="8" t="str">
        <f>IF(ISBLANK(A597),"",VLOOKUP(A597,DOI_URL!$B$1:$C$74,2,FALSE()))</f>
        <v/>
      </c>
      <c r="C597" s="8"/>
      <c r="D597" s="8"/>
      <c r="I597" s="8"/>
      <c r="J597" s="8"/>
    </row>
    <row r="598">
      <c r="A598" s="8"/>
      <c r="B598" s="8" t="str">
        <f>IF(ISBLANK(A598),"",VLOOKUP(A598,DOI_URL!$B$1:$C$74,2,FALSE()))</f>
        <v/>
      </c>
      <c r="C598" s="8"/>
      <c r="D598" s="8"/>
      <c r="I598" s="8"/>
      <c r="J598" s="8"/>
    </row>
    <row r="599">
      <c r="A599" s="8"/>
      <c r="B599" s="8" t="str">
        <f>IF(ISBLANK(A599),"",VLOOKUP(A599,DOI_URL!$B$1:$C$74,2,FALSE()))</f>
        <v/>
      </c>
      <c r="C599" s="8"/>
      <c r="D599" s="8"/>
      <c r="I599" s="8"/>
      <c r="J599" s="8"/>
    </row>
    <row r="600">
      <c r="A600" s="8"/>
      <c r="B600" s="8" t="str">
        <f>IF(ISBLANK(A600),"",VLOOKUP(A600,DOI_URL!$B$1:$C$74,2,FALSE()))</f>
        <v/>
      </c>
      <c r="C600" s="8"/>
      <c r="D600" s="8"/>
      <c r="I600" s="8"/>
      <c r="J600" s="8"/>
    </row>
    <row r="601">
      <c r="A601" s="8"/>
      <c r="B601" s="8" t="str">
        <f>IF(ISBLANK(A601),"",VLOOKUP(A601,DOI_URL!$B$1:$C$74,2,FALSE()))</f>
        <v/>
      </c>
      <c r="C601" s="8"/>
      <c r="D601" s="8"/>
      <c r="I601" s="8"/>
      <c r="J601" s="8"/>
    </row>
    <row r="602">
      <c r="A602" s="8"/>
      <c r="B602" s="8" t="str">
        <f>IF(ISBLANK(A602),"",VLOOKUP(A602,DOI_URL!$B$1:$C$74,2,FALSE()))</f>
        <v/>
      </c>
      <c r="C602" s="8"/>
      <c r="D602" s="8"/>
      <c r="I602" s="8"/>
      <c r="J602" s="8"/>
    </row>
    <row r="603">
      <c r="A603" s="8"/>
      <c r="B603" s="8" t="str">
        <f>IF(ISBLANK(A603),"",VLOOKUP(A603,DOI_URL!$B$1:$C$74,2,FALSE()))</f>
        <v/>
      </c>
      <c r="C603" s="8"/>
      <c r="D603" s="8"/>
      <c r="I603" s="8"/>
      <c r="J603" s="8"/>
    </row>
    <row r="604">
      <c r="A604" s="8"/>
      <c r="B604" s="8" t="str">
        <f>IF(ISBLANK(A604),"",VLOOKUP(A604,DOI_URL!$B$1:$C$74,2,FALSE()))</f>
        <v/>
      </c>
      <c r="C604" s="8"/>
      <c r="D604" s="8"/>
      <c r="I604" s="8"/>
      <c r="J604" s="8"/>
    </row>
    <row r="605">
      <c r="A605" s="8"/>
      <c r="B605" s="8" t="str">
        <f>IF(ISBLANK(A605),"",VLOOKUP(A605,DOI_URL!$B$1:$C$74,2,FALSE()))</f>
        <v/>
      </c>
      <c r="C605" s="8"/>
      <c r="D605" s="8"/>
      <c r="I605" s="8"/>
      <c r="J605" s="8"/>
    </row>
    <row r="606">
      <c r="A606" s="8"/>
      <c r="B606" s="8" t="str">
        <f>IF(ISBLANK(A606),"",VLOOKUP(A606,DOI_URL!$B$1:$C$74,2,FALSE()))</f>
        <v/>
      </c>
      <c r="C606" s="8"/>
      <c r="D606" s="8"/>
      <c r="I606" s="8"/>
      <c r="J606" s="8"/>
    </row>
    <row r="607">
      <c r="A607" s="8"/>
      <c r="B607" s="8" t="str">
        <f>IF(ISBLANK(A607),"",VLOOKUP(A607,DOI_URL!$B$1:$C$74,2,FALSE()))</f>
        <v/>
      </c>
      <c r="C607" s="8"/>
      <c r="D607" s="8"/>
      <c r="I607" s="8"/>
      <c r="J607" s="8"/>
    </row>
    <row r="608">
      <c r="A608" s="8"/>
      <c r="B608" s="8" t="str">
        <f>IF(ISBLANK(A608),"",VLOOKUP(A608,DOI_URL!$B$1:$C$74,2,FALSE()))</f>
        <v/>
      </c>
      <c r="C608" s="8"/>
      <c r="D608" s="8"/>
      <c r="I608" s="8"/>
      <c r="J608" s="8"/>
    </row>
    <row r="609">
      <c r="A609" s="8"/>
      <c r="B609" s="8" t="str">
        <f>IF(ISBLANK(A609),"",VLOOKUP(A609,DOI_URL!$B$1:$C$74,2,FALSE()))</f>
        <v/>
      </c>
      <c r="C609" s="8"/>
      <c r="D609" s="8"/>
      <c r="I609" s="8"/>
      <c r="J609" s="8"/>
    </row>
    <row r="610">
      <c r="A610" s="8"/>
      <c r="B610" s="8" t="str">
        <f>IF(ISBLANK(A610),"",VLOOKUP(A610,DOI_URL!$B$1:$C$74,2,FALSE()))</f>
        <v/>
      </c>
      <c r="C610" s="8"/>
      <c r="D610" s="8"/>
      <c r="I610" s="8"/>
      <c r="J610" s="8"/>
    </row>
    <row r="611">
      <c r="A611" s="8"/>
      <c r="B611" s="8" t="str">
        <f>IF(ISBLANK(A611),"",VLOOKUP(A611,DOI_URL!$B$1:$C$74,2,FALSE()))</f>
        <v/>
      </c>
      <c r="C611" s="8"/>
      <c r="D611" s="8"/>
      <c r="I611" s="8"/>
      <c r="J611" s="8"/>
    </row>
    <row r="612">
      <c r="A612" s="8"/>
      <c r="B612" s="8" t="str">
        <f>IF(ISBLANK(A612),"",VLOOKUP(A612,DOI_URL!$B$1:$C$74,2,FALSE()))</f>
        <v/>
      </c>
      <c r="C612" s="8"/>
      <c r="D612" s="8"/>
      <c r="I612" s="8"/>
      <c r="J612" s="8"/>
    </row>
    <row r="613">
      <c r="A613" s="8"/>
      <c r="B613" s="8" t="str">
        <f>IF(ISBLANK(A613),"",VLOOKUP(A613,DOI_URL!$B$1:$C$74,2,FALSE()))</f>
        <v/>
      </c>
      <c r="C613" s="8"/>
      <c r="D613" s="8"/>
      <c r="I613" s="8"/>
      <c r="J613" s="8"/>
    </row>
    <row r="614">
      <c r="A614" s="8"/>
      <c r="B614" s="8" t="str">
        <f>IF(ISBLANK(A614),"",VLOOKUP(A614,DOI_URL!$B$1:$C$74,2,FALSE()))</f>
        <v/>
      </c>
      <c r="C614" s="8"/>
      <c r="D614" s="8"/>
      <c r="I614" s="8"/>
      <c r="J614" s="8"/>
    </row>
    <row r="615">
      <c r="A615" s="8"/>
      <c r="B615" s="8" t="str">
        <f>IF(ISBLANK(A615),"",VLOOKUP(A615,DOI_URL!$B$1:$C$74,2,FALSE()))</f>
        <v/>
      </c>
      <c r="C615" s="8"/>
      <c r="D615" s="8"/>
      <c r="I615" s="8"/>
      <c r="J615" s="8"/>
    </row>
    <row r="616">
      <c r="A616" s="8"/>
      <c r="B616" s="8" t="str">
        <f>IF(ISBLANK(A616),"",VLOOKUP(A616,DOI_URL!$B$1:$C$74,2,FALSE()))</f>
        <v/>
      </c>
      <c r="C616" s="8"/>
      <c r="D616" s="8"/>
      <c r="I616" s="8"/>
      <c r="J616" s="8"/>
    </row>
    <row r="617">
      <c r="A617" s="8"/>
      <c r="B617" s="8" t="str">
        <f>IF(ISBLANK(A617),"",VLOOKUP(A617,DOI_URL!$B$1:$C$74,2,FALSE()))</f>
        <v/>
      </c>
      <c r="C617" s="8"/>
      <c r="D617" s="8"/>
      <c r="I617" s="8"/>
      <c r="J617" s="8"/>
    </row>
    <row r="618">
      <c r="A618" s="8"/>
      <c r="B618" s="8" t="str">
        <f>IF(ISBLANK(A618),"",VLOOKUP(A618,DOI_URL!$B$1:$C$74,2,FALSE()))</f>
        <v/>
      </c>
      <c r="C618" s="8"/>
      <c r="D618" s="8"/>
      <c r="I618" s="8"/>
      <c r="J618" s="8"/>
    </row>
    <row r="619">
      <c r="A619" s="8"/>
      <c r="B619" s="8" t="str">
        <f>IF(ISBLANK(A619),"",VLOOKUP(A619,DOI_URL!$B$1:$C$74,2,FALSE()))</f>
        <v/>
      </c>
      <c r="C619" s="8"/>
      <c r="D619" s="8"/>
      <c r="I619" s="8"/>
      <c r="J619" s="8"/>
    </row>
    <row r="620">
      <c r="A620" s="8"/>
      <c r="B620" s="8" t="str">
        <f>IF(ISBLANK(A620),"",VLOOKUP(A620,DOI_URL!$B$1:$C$74,2,FALSE()))</f>
        <v/>
      </c>
      <c r="C620" s="8"/>
      <c r="D620" s="8"/>
      <c r="I620" s="8"/>
      <c r="J620" s="8"/>
    </row>
    <row r="621">
      <c r="A621" s="8"/>
      <c r="B621" s="8" t="str">
        <f>IF(ISBLANK(A621),"",VLOOKUP(A621,DOI_URL!$B$1:$C$74,2,FALSE()))</f>
        <v/>
      </c>
      <c r="C621" s="8"/>
      <c r="D621" s="8"/>
      <c r="I621" s="8"/>
      <c r="J621" s="8"/>
    </row>
    <row r="622">
      <c r="A622" s="8"/>
      <c r="B622" s="8" t="str">
        <f>IF(ISBLANK(A622),"",VLOOKUP(A622,DOI_URL!$B$1:$C$74,2,FALSE()))</f>
        <v/>
      </c>
      <c r="C622" s="8"/>
      <c r="D622" s="8"/>
      <c r="I622" s="8"/>
      <c r="J622" s="8"/>
    </row>
    <row r="623">
      <c r="A623" s="8"/>
      <c r="B623" s="8" t="str">
        <f>IF(ISBLANK(A623),"",VLOOKUP(A623,DOI_URL!$B$1:$C$74,2,FALSE()))</f>
        <v/>
      </c>
      <c r="C623" s="8"/>
      <c r="D623" s="8"/>
      <c r="I623" s="8"/>
      <c r="J623" s="8"/>
    </row>
    <row r="624">
      <c r="A624" s="8"/>
      <c r="B624" s="8" t="str">
        <f>IF(ISBLANK(A624),"",VLOOKUP(A624,DOI_URL!$B$1:$C$74,2,FALSE()))</f>
        <v/>
      </c>
      <c r="C624" s="8"/>
      <c r="D624" s="8"/>
      <c r="I624" s="8"/>
      <c r="J624" s="8"/>
    </row>
    <row r="625">
      <c r="A625" s="8"/>
      <c r="B625" s="8" t="str">
        <f>IF(ISBLANK(A625),"",VLOOKUP(A625,DOI_URL!$B$1:$C$74,2,FALSE()))</f>
        <v/>
      </c>
      <c r="C625" s="8"/>
      <c r="D625" s="8"/>
      <c r="I625" s="8"/>
      <c r="J625" s="8"/>
    </row>
    <row r="626">
      <c r="A626" s="8"/>
      <c r="B626" s="8" t="str">
        <f>IF(ISBLANK(A626),"",VLOOKUP(A626,DOI_URL!$B$1:$C$74,2,FALSE()))</f>
        <v/>
      </c>
      <c r="C626" s="8"/>
      <c r="D626" s="8"/>
      <c r="I626" s="8"/>
      <c r="J626" s="8"/>
    </row>
    <row r="627">
      <c r="A627" s="8"/>
      <c r="B627" s="8" t="str">
        <f>IF(ISBLANK(A627),"",VLOOKUP(A627,DOI_URL!$B$1:$C$74,2,FALSE()))</f>
        <v/>
      </c>
      <c r="C627" s="8"/>
      <c r="D627" s="8"/>
      <c r="I627" s="8"/>
      <c r="J627" s="8"/>
    </row>
    <row r="628">
      <c r="A628" s="8"/>
      <c r="B628" s="8" t="str">
        <f>IF(ISBLANK(A628),"",VLOOKUP(A628,DOI_URL!$B$1:$C$74,2,FALSE()))</f>
        <v/>
      </c>
      <c r="C628" s="8"/>
      <c r="D628" s="8"/>
      <c r="I628" s="8"/>
      <c r="J628" s="8"/>
    </row>
    <row r="629">
      <c r="A629" s="8"/>
      <c r="B629" s="8" t="str">
        <f>IF(ISBLANK(A629),"",VLOOKUP(A629,DOI_URL!$B$1:$C$74,2,FALSE()))</f>
        <v/>
      </c>
      <c r="C629" s="8"/>
      <c r="D629" s="8"/>
      <c r="I629" s="8"/>
      <c r="J629" s="8"/>
    </row>
    <row r="630">
      <c r="A630" s="8"/>
      <c r="B630" s="8" t="str">
        <f>IF(ISBLANK(A630),"",VLOOKUP(A630,DOI_URL!$B$1:$C$74,2,FALSE()))</f>
        <v/>
      </c>
      <c r="C630" s="8"/>
      <c r="D630" s="8"/>
      <c r="I630" s="8"/>
      <c r="J630" s="8"/>
    </row>
    <row r="631">
      <c r="A631" s="8"/>
      <c r="B631" s="8" t="str">
        <f>IF(ISBLANK(A631),"",VLOOKUP(A631,DOI_URL!$B$1:$C$74,2,FALSE()))</f>
        <v/>
      </c>
      <c r="C631" s="8"/>
      <c r="D631" s="8"/>
      <c r="I631" s="8"/>
      <c r="J631" s="8"/>
    </row>
    <row r="632">
      <c r="A632" s="8"/>
      <c r="B632" s="8" t="str">
        <f>IF(ISBLANK(A632),"",VLOOKUP(A632,DOI_URL!$B$1:$C$74,2,FALSE()))</f>
        <v/>
      </c>
      <c r="C632" s="8"/>
      <c r="D632" s="8"/>
      <c r="I632" s="8"/>
      <c r="J632" s="8"/>
    </row>
    <row r="633">
      <c r="A633" s="8"/>
      <c r="B633" s="8" t="str">
        <f>IF(ISBLANK(A633),"",VLOOKUP(A633,DOI_URL!$B$1:$C$74,2,FALSE()))</f>
        <v/>
      </c>
      <c r="C633" s="8"/>
      <c r="D633" s="8"/>
      <c r="I633" s="8"/>
      <c r="J633" s="8"/>
    </row>
    <row r="634">
      <c r="A634" s="8"/>
      <c r="B634" s="8" t="str">
        <f>IF(ISBLANK(A634),"",VLOOKUP(A634,DOI_URL!$B$1:$C$74,2,FALSE()))</f>
        <v/>
      </c>
      <c r="C634" s="8"/>
      <c r="D634" s="8"/>
      <c r="I634" s="8"/>
      <c r="J634" s="8"/>
    </row>
    <row r="635">
      <c r="A635" s="8"/>
      <c r="B635" s="8" t="str">
        <f>IF(ISBLANK(A635),"",VLOOKUP(A635,DOI_URL!$B$1:$C$74,2,FALSE()))</f>
        <v/>
      </c>
      <c r="C635" s="8"/>
      <c r="D635" s="8"/>
      <c r="I635" s="8"/>
      <c r="J635" s="8"/>
    </row>
    <row r="636">
      <c r="A636" s="8"/>
      <c r="B636" s="8" t="str">
        <f>IF(ISBLANK(A636),"",VLOOKUP(A636,DOI_URL!$B$1:$C$74,2,FALSE()))</f>
        <v/>
      </c>
      <c r="C636" s="8"/>
      <c r="D636" s="8"/>
      <c r="I636" s="8"/>
      <c r="J636" s="8"/>
    </row>
    <row r="637">
      <c r="A637" s="8"/>
      <c r="B637" s="8" t="str">
        <f>IF(ISBLANK(A637),"",VLOOKUP(A637,DOI_URL!$B$1:$C$74,2,FALSE()))</f>
        <v/>
      </c>
      <c r="C637" s="8"/>
      <c r="D637" s="8"/>
      <c r="I637" s="8"/>
      <c r="J637" s="8"/>
    </row>
    <row r="638">
      <c r="A638" s="8"/>
      <c r="B638" s="8" t="str">
        <f>IF(ISBLANK(A638),"",VLOOKUP(A638,DOI_URL!$B$1:$C$74,2,FALSE()))</f>
        <v/>
      </c>
      <c r="C638" s="8"/>
      <c r="D638" s="8"/>
      <c r="I638" s="8"/>
      <c r="J638" s="8"/>
    </row>
    <row r="639">
      <c r="A639" s="8"/>
      <c r="B639" s="8" t="str">
        <f>IF(ISBLANK(A639),"",VLOOKUP(A639,DOI_URL!$B$1:$C$74,2,FALSE()))</f>
        <v/>
      </c>
      <c r="C639" s="8"/>
      <c r="D639" s="8"/>
      <c r="I639" s="8"/>
      <c r="J639" s="8"/>
    </row>
    <row r="640">
      <c r="A640" s="8"/>
      <c r="B640" s="8" t="str">
        <f>IF(ISBLANK(A640),"",VLOOKUP(A640,DOI_URL!$B$1:$C$74,2,FALSE()))</f>
        <v/>
      </c>
      <c r="C640" s="8"/>
      <c r="D640" s="8"/>
      <c r="I640" s="8"/>
      <c r="J640" s="8"/>
    </row>
    <row r="641">
      <c r="A641" s="8"/>
      <c r="B641" s="8" t="str">
        <f>IF(ISBLANK(A641),"",VLOOKUP(A641,DOI_URL!$B$1:$C$74,2,FALSE()))</f>
        <v/>
      </c>
      <c r="C641" s="8"/>
      <c r="D641" s="8"/>
      <c r="I641" s="8"/>
      <c r="J641" s="8"/>
    </row>
    <row r="642">
      <c r="A642" s="8"/>
      <c r="B642" s="8" t="str">
        <f>IF(ISBLANK(A642),"",VLOOKUP(A642,DOI_URL!$B$1:$C$74,2,FALSE()))</f>
        <v/>
      </c>
      <c r="C642" s="8"/>
      <c r="D642" s="8"/>
      <c r="I642" s="8"/>
      <c r="J642" s="8"/>
    </row>
    <row r="643">
      <c r="A643" s="8"/>
      <c r="B643" s="8" t="str">
        <f>IF(ISBLANK(A643),"",VLOOKUP(A643,DOI_URL!$B$1:$C$74,2,FALSE()))</f>
        <v/>
      </c>
      <c r="C643" s="8"/>
      <c r="D643" s="8"/>
      <c r="I643" s="8"/>
      <c r="J643" s="8"/>
    </row>
    <row r="644">
      <c r="A644" s="8"/>
      <c r="B644" s="8" t="str">
        <f>IF(ISBLANK(A644),"",VLOOKUP(A644,DOI_URL!$B$1:$C$74,2,FALSE()))</f>
        <v/>
      </c>
      <c r="C644" s="8"/>
      <c r="D644" s="8"/>
      <c r="I644" s="8"/>
      <c r="J644" s="8"/>
    </row>
    <row r="645">
      <c r="A645" s="8"/>
      <c r="B645" s="8" t="str">
        <f>IF(ISBLANK(A645),"",VLOOKUP(A645,DOI_URL!$B$1:$C$74,2,FALSE()))</f>
        <v/>
      </c>
      <c r="C645" s="8"/>
      <c r="D645" s="8"/>
      <c r="I645" s="8"/>
      <c r="J645" s="8"/>
    </row>
    <row r="646">
      <c r="A646" s="8"/>
      <c r="B646" s="8" t="str">
        <f>IF(ISBLANK(A646),"",VLOOKUP(A646,DOI_URL!$B$1:$C$74,2,FALSE()))</f>
        <v/>
      </c>
      <c r="C646" s="8"/>
      <c r="D646" s="8"/>
      <c r="I646" s="8"/>
      <c r="J646" s="8"/>
    </row>
    <row r="647">
      <c r="A647" s="8"/>
      <c r="B647" s="8" t="str">
        <f>IF(ISBLANK(A647),"",VLOOKUP(A647,DOI_URL!$B$1:$C$74,2,FALSE()))</f>
        <v/>
      </c>
      <c r="C647" s="8"/>
      <c r="D647" s="8"/>
      <c r="I647" s="8"/>
      <c r="J647" s="8"/>
    </row>
    <row r="648">
      <c r="A648" s="8"/>
      <c r="B648" s="8" t="str">
        <f>IF(ISBLANK(A648),"",VLOOKUP(A648,DOI_URL!$B$1:$C$74,2,FALSE()))</f>
        <v/>
      </c>
      <c r="C648" s="8"/>
      <c r="D648" s="8"/>
      <c r="I648" s="8"/>
      <c r="J648" s="8"/>
    </row>
    <row r="649">
      <c r="A649" s="8"/>
      <c r="B649" s="8" t="str">
        <f>IF(ISBLANK(A649),"",VLOOKUP(A649,DOI_URL!$B$1:$C$74,2,FALSE()))</f>
        <v/>
      </c>
      <c r="C649" s="8"/>
      <c r="D649" s="8"/>
      <c r="I649" s="8"/>
      <c r="J649" s="8"/>
    </row>
    <row r="650">
      <c r="A650" s="8"/>
      <c r="B650" s="8" t="str">
        <f>IF(ISBLANK(A650),"",VLOOKUP(A650,DOI_URL!$B$1:$C$74,2,FALSE()))</f>
        <v/>
      </c>
      <c r="C650" s="8"/>
      <c r="D650" s="8"/>
      <c r="I650" s="8"/>
      <c r="J650" s="8"/>
    </row>
    <row r="651">
      <c r="A651" s="8"/>
      <c r="B651" s="8" t="str">
        <f>IF(ISBLANK(A651),"",VLOOKUP(A651,DOI_URL!$B$1:$C$74,2,FALSE()))</f>
        <v/>
      </c>
      <c r="C651" s="8"/>
      <c r="D651" s="8"/>
      <c r="I651" s="8"/>
      <c r="J651" s="8"/>
    </row>
    <row r="652">
      <c r="A652" s="8"/>
      <c r="B652" s="8" t="str">
        <f>IF(ISBLANK(A652),"",VLOOKUP(A652,DOI_URL!$B$1:$C$74,2,FALSE()))</f>
        <v/>
      </c>
      <c r="C652" s="8"/>
      <c r="D652" s="8"/>
      <c r="I652" s="8"/>
      <c r="J652" s="8"/>
    </row>
    <row r="653">
      <c r="A653" s="8"/>
      <c r="B653" s="8" t="str">
        <f>IF(ISBLANK(A653),"",VLOOKUP(A653,DOI_URL!$B$1:$C$74,2,FALSE()))</f>
        <v/>
      </c>
      <c r="C653" s="8"/>
      <c r="D653" s="8"/>
      <c r="I653" s="8"/>
      <c r="J653" s="8"/>
    </row>
    <row r="654">
      <c r="A654" s="8"/>
      <c r="B654" s="8" t="str">
        <f>IF(ISBLANK(A654),"",VLOOKUP(A654,DOI_URL!$B$1:$C$74,2,FALSE()))</f>
        <v/>
      </c>
      <c r="C654" s="8"/>
      <c r="D654" s="8"/>
      <c r="I654" s="8"/>
      <c r="J654" s="8"/>
    </row>
    <row r="655">
      <c r="A655" s="8"/>
      <c r="B655" s="8" t="str">
        <f>IF(ISBLANK(A655),"",VLOOKUP(A655,DOI_URL!$B$1:$C$74,2,FALSE()))</f>
        <v/>
      </c>
      <c r="C655" s="8"/>
      <c r="D655" s="8"/>
      <c r="I655" s="8"/>
      <c r="J655" s="8"/>
    </row>
    <row r="656">
      <c r="A656" s="8"/>
      <c r="B656" s="8" t="str">
        <f>IF(ISBLANK(A656),"",VLOOKUP(A656,DOI_URL!$B$1:$C$74,2,FALSE()))</f>
        <v/>
      </c>
      <c r="C656" s="8"/>
      <c r="D656" s="8"/>
      <c r="I656" s="8"/>
      <c r="J656" s="8"/>
    </row>
    <row r="657">
      <c r="A657" s="8"/>
      <c r="B657" s="8" t="str">
        <f>IF(ISBLANK(A657),"",VLOOKUP(A657,DOI_URL!$B$1:$C$74,2,FALSE()))</f>
        <v/>
      </c>
      <c r="C657" s="8"/>
      <c r="D657" s="8"/>
      <c r="I657" s="8"/>
      <c r="J657" s="8"/>
    </row>
    <row r="658">
      <c r="A658" s="8"/>
      <c r="B658" s="8" t="str">
        <f>IF(ISBLANK(A658),"",VLOOKUP(A658,DOI_URL!$B$1:$C$74,2,FALSE()))</f>
        <v/>
      </c>
      <c r="C658" s="8"/>
      <c r="D658" s="8"/>
      <c r="I658" s="8"/>
      <c r="J658" s="8"/>
    </row>
    <row r="659">
      <c r="A659" s="8"/>
      <c r="B659" s="8" t="str">
        <f>IF(ISBLANK(A659),"",VLOOKUP(A659,DOI_URL!$B$1:$C$74,2,FALSE()))</f>
        <v/>
      </c>
      <c r="C659" s="8"/>
      <c r="D659" s="8"/>
      <c r="I659" s="8"/>
      <c r="J659" s="8"/>
    </row>
    <row r="660">
      <c r="A660" s="8"/>
      <c r="B660" s="8" t="str">
        <f>IF(ISBLANK(A660),"",VLOOKUP(A660,DOI_URL!$B$1:$C$74,2,FALSE()))</f>
        <v/>
      </c>
      <c r="C660" s="8"/>
      <c r="D660" s="8"/>
      <c r="I660" s="8"/>
      <c r="J660" s="8"/>
    </row>
    <row r="661">
      <c r="A661" s="8"/>
      <c r="B661" s="8" t="str">
        <f>IF(ISBLANK(A661),"",VLOOKUP(A661,DOI_URL!$B$1:$C$74,2,FALSE()))</f>
        <v/>
      </c>
      <c r="C661" s="8"/>
      <c r="D661" s="8"/>
      <c r="I661" s="8"/>
      <c r="J661" s="8"/>
    </row>
    <row r="662">
      <c r="A662" s="8"/>
      <c r="B662" s="8" t="str">
        <f>IF(ISBLANK(A662),"",VLOOKUP(A662,DOI_URL!$B$1:$C$74,2,FALSE()))</f>
        <v/>
      </c>
      <c r="C662" s="8"/>
      <c r="D662" s="8"/>
      <c r="I662" s="8"/>
      <c r="J662" s="8"/>
    </row>
    <row r="663">
      <c r="A663" s="8"/>
      <c r="B663" s="8" t="str">
        <f>IF(ISBLANK(A663),"",VLOOKUP(A663,DOI_URL!$B$1:$C$74,2,FALSE()))</f>
        <v/>
      </c>
      <c r="C663" s="8"/>
      <c r="D663" s="8"/>
      <c r="I663" s="8"/>
      <c r="J663" s="8"/>
    </row>
    <row r="664">
      <c r="A664" s="8"/>
      <c r="B664" s="8" t="str">
        <f>IF(ISBLANK(A664),"",VLOOKUP(A664,DOI_URL!$B$1:$C$74,2,FALSE()))</f>
        <v/>
      </c>
      <c r="C664" s="8"/>
      <c r="D664" s="8"/>
      <c r="I664" s="8"/>
      <c r="J664" s="8"/>
    </row>
    <row r="665">
      <c r="A665" s="8"/>
      <c r="B665" s="8" t="str">
        <f>IF(ISBLANK(A665),"",VLOOKUP(A665,DOI_URL!$B$1:$C$74,2,FALSE()))</f>
        <v/>
      </c>
      <c r="C665" s="8"/>
      <c r="D665" s="8"/>
      <c r="I665" s="8"/>
      <c r="J665" s="8"/>
    </row>
    <row r="666">
      <c r="A666" s="8"/>
      <c r="B666" s="8" t="str">
        <f>IF(ISBLANK(A666),"",VLOOKUP(A666,DOI_URL!$B$1:$C$74,2,FALSE()))</f>
        <v/>
      </c>
      <c r="C666" s="8"/>
      <c r="D666" s="8"/>
      <c r="I666" s="8"/>
      <c r="J666" s="8"/>
    </row>
    <row r="667">
      <c r="A667" s="8"/>
      <c r="B667" s="8" t="str">
        <f>IF(ISBLANK(A667),"",VLOOKUP(A667,DOI_URL!$B$1:$C$74,2,FALSE()))</f>
        <v/>
      </c>
      <c r="C667" s="8"/>
      <c r="D667" s="8"/>
      <c r="I667" s="8"/>
      <c r="J667" s="8"/>
    </row>
    <row r="668">
      <c r="A668" s="8"/>
      <c r="B668" s="8" t="str">
        <f>IF(ISBLANK(A668),"",VLOOKUP(A668,DOI_URL!$B$1:$C$74,2,FALSE()))</f>
        <v/>
      </c>
      <c r="C668" s="8"/>
      <c r="D668" s="8"/>
      <c r="I668" s="8"/>
      <c r="J668" s="8"/>
    </row>
    <row r="669">
      <c r="A669" s="8"/>
      <c r="B669" s="8" t="str">
        <f>IF(ISBLANK(A669),"",VLOOKUP(A669,DOI_URL!$B$1:$C$74,2,FALSE()))</f>
        <v/>
      </c>
      <c r="C669" s="8"/>
      <c r="D669" s="8"/>
      <c r="I669" s="8"/>
      <c r="J669" s="8"/>
    </row>
    <row r="670">
      <c r="A670" s="8"/>
      <c r="B670" s="8" t="str">
        <f>IF(ISBLANK(A670),"",VLOOKUP(A670,DOI_URL!$B$1:$C$74,2,FALSE()))</f>
        <v/>
      </c>
      <c r="C670" s="8"/>
      <c r="D670" s="8"/>
      <c r="I670" s="8"/>
      <c r="J670" s="8"/>
    </row>
    <row r="671">
      <c r="A671" s="8"/>
      <c r="B671" s="8" t="str">
        <f>IF(ISBLANK(A671),"",VLOOKUP(A671,DOI_URL!$B$1:$C$74,2,FALSE()))</f>
        <v/>
      </c>
      <c r="C671" s="8"/>
      <c r="D671" s="8"/>
      <c r="I671" s="8"/>
      <c r="J671" s="8"/>
    </row>
    <row r="672">
      <c r="A672" s="8"/>
      <c r="B672" s="8" t="str">
        <f>IF(ISBLANK(A672),"",VLOOKUP(A672,DOI_URL!$B$1:$C$74,2,FALSE()))</f>
        <v/>
      </c>
      <c r="C672" s="8"/>
      <c r="D672" s="8"/>
      <c r="I672" s="8"/>
      <c r="J672" s="8"/>
    </row>
    <row r="673">
      <c r="A673" s="8"/>
      <c r="B673" s="8" t="str">
        <f>IF(ISBLANK(A673),"",VLOOKUP(A673,DOI_URL!$B$1:$C$74,2,FALSE()))</f>
        <v/>
      </c>
      <c r="C673" s="8"/>
      <c r="D673" s="8"/>
      <c r="I673" s="8"/>
      <c r="J673" s="8"/>
    </row>
    <row r="674">
      <c r="A674" s="8"/>
      <c r="B674" s="8" t="str">
        <f>IF(ISBLANK(A674),"",VLOOKUP(A674,DOI_URL!$B$1:$C$74,2,FALSE()))</f>
        <v/>
      </c>
      <c r="C674" s="8"/>
      <c r="D674" s="8"/>
      <c r="I674" s="8"/>
      <c r="J674" s="8"/>
    </row>
    <row r="675">
      <c r="A675" s="8"/>
      <c r="B675" s="8" t="str">
        <f>IF(ISBLANK(A675),"",VLOOKUP(A675,DOI_URL!$B$1:$C$74,2,FALSE()))</f>
        <v/>
      </c>
      <c r="C675" s="8"/>
      <c r="D675" s="8"/>
      <c r="I675" s="8"/>
      <c r="J675" s="8"/>
    </row>
    <row r="676">
      <c r="A676" s="8"/>
      <c r="B676" s="8" t="str">
        <f>IF(ISBLANK(A676),"",VLOOKUP(A676,DOI_URL!$B$1:$C$74,2,FALSE()))</f>
        <v/>
      </c>
      <c r="C676" s="8"/>
      <c r="D676" s="8"/>
      <c r="I676" s="8"/>
      <c r="J676" s="8"/>
    </row>
    <row r="677">
      <c r="A677" s="8"/>
      <c r="B677" s="8" t="str">
        <f>IF(ISBLANK(A677),"",VLOOKUP(A677,DOI_URL!$B$1:$C$74,2,FALSE()))</f>
        <v/>
      </c>
      <c r="C677" s="8"/>
      <c r="D677" s="8"/>
      <c r="I677" s="8"/>
      <c r="J677" s="8"/>
    </row>
    <row r="678">
      <c r="A678" s="8"/>
      <c r="B678" s="8" t="str">
        <f>IF(ISBLANK(A678),"",VLOOKUP(A678,DOI_URL!$B$1:$C$74,2,FALSE()))</f>
        <v/>
      </c>
      <c r="C678" s="8"/>
      <c r="D678" s="8"/>
      <c r="I678" s="8"/>
      <c r="J678" s="8"/>
    </row>
    <row r="679">
      <c r="A679" s="8"/>
      <c r="B679" s="8" t="str">
        <f>IF(ISBLANK(A679),"",VLOOKUP(A679,DOI_URL!$B$1:$C$74,2,FALSE()))</f>
        <v/>
      </c>
      <c r="C679" s="8"/>
      <c r="D679" s="8"/>
      <c r="I679" s="8"/>
      <c r="J679" s="8"/>
    </row>
    <row r="680">
      <c r="A680" s="8"/>
      <c r="B680" s="8" t="str">
        <f>IF(ISBLANK(A680),"",VLOOKUP(A680,DOI_URL!$B$1:$C$74,2,FALSE()))</f>
        <v/>
      </c>
      <c r="C680" s="8"/>
      <c r="D680" s="8"/>
      <c r="I680" s="8"/>
      <c r="J680" s="8"/>
    </row>
    <row r="681">
      <c r="A681" s="8"/>
      <c r="B681" s="8" t="str">
        <f>IF(ISBLANK(A681),"",VLOOKUP(A681,DOI_URL!$B$1:$C$74,2,FALSE()))</f>
        <v/>
      </c>
      <c r="C681" s="8"/>
      <c r="D681" s="8"/>
      <c r="I681" s="8"/>
      <c r="J681" s="8"/>
    </row>
    <row r="682">
      <c r="A682" s="8"/>
      <c r="B682" s="8" t="str">
        <f>IF(ISBLANK(A682),"",VLOOKUP(A682,DOI_URL!$B$1:$C$74,2,FALSE()))</f>
        <v/>
      </c>
      <c r="C682" s="8"/>
      <c r="D682" s="8"/>
      <c r="I682" s="8"/>
      <c r="J682" s="8"/>
    </row>
    <row r="683">
      <c r="A683" s="8"/>
      <c r="B683" s="8" t="str">
        <f>IF(ISBLANK(A683),"",VLOOKUP(A683,DOI_URL!$B$1:$C$74,2,FALSE()))</f>
        <v/>
      </c>
      <c r="C683" s="8"/>
      <c r="D683" s="8"/>
      <c r="I683" s="8"/>
      <c r="J683" s="8"/>
    </row>
    <row r="684">
      <c r="A684" s="8"/>
      <c r="B684" s="8" t="str">
        <f>IF(ISBLANK(A684),"",VLOOKUP(A684,DOI_URL!$B$1:$C$74,2,FALSE()))</f>
        <v/>
      </c>
      <c r="C684" s="8"/>
      <c r="D684" s="8"/>
      <c r="I684" s="8"/>
      <c r="J684" s="8"/>
    </row>
    <row r="685">
      <c r="A685" s="8"/>
      <c r="B685" s="8" t="str">
        <f>IF(ISBLANK(A685),"",VLOOKUP(A685,DOI_URL!$B$1:$C$74,2,FALSE()))</f>
        <v/>
      </c>
      <c r="C685" s="8"/>
      <c r="D685" s="8"/>
      <c r="I685" s="8"/>
      <c r="J685" s="8"/>
    </row>
    <row r="686">
      <c r="A686" s="8"/>
      <c r="B686" s="8" t="str">
        <f>IF(ISBLANK(A686),"",VLOOKUP(A686,DOI_URL!$B$1:$C$74,2,FALSE()))</f>
        <v/>
      </c>
      <c r="C686" s="8"/>
      <c r="D686" s="8"/>
      <c r="I686" s="8"/>
      <c r="J686" s="8"/>
    </row>
    <row r="687">
      <c r="A687" s="8"/>
      <c r="B687" s="8" t="str">
        <f>IF(ISBLANK(A687),"",VLOOKUP(A687,DOI_URL!$B$1:$C$74,2,FALSE()))</f>
        <v/>
      </c>
      <c r="C687" s="8"/>
      <c r="D687" s="8"/>
      <c r="I687" s="8"/>
      <c r="J687" s="8"/>
    </row>
    <row r="688">
      <c r="A688" s="8"/>
      <c r="B688" s="8" t="str">
        <f>IF(ISBLANK(A688),"",VLOOKUP(A688,DOI_URL!$B$1:$C$74,2,FALSE()))</f>
        <v/>
      </c>
      <c r="C688" s="8"/>
      <c r="D688" s="8"/>
      <c r="I688" s="8"/>
      <c r="J688" s="8"/>
    </row>
    <row r="689">
      <c r="A689" s="8"/>
      <c r="B689" s="8" t="str">
        <f>IF(ISBLANK(A689),"",VLOOKUP(A689,DOI_URL!$B$1:$C$74,2,FALSE()))</f>
        <v/>
      </c>
      <c r="C689" s="8"/>
      <c r="D689" s="8"/>
      <c r="I689" s="8"/>
      <c r="J689" s="8"/>
    </row>
    <row r="690">
      <c r="A690" s="8"/>
      <c r="B690" s="8" t="str">
        <f>IF(ISBLANK(A690),"",VLOOKUP(A690,DOI_URL!$B$1:$C$74,2,FALSE()))</f>
        <v/>
      </c>
      <c r="C690" s="8"/>
      <c r="D690" s="8"/>
      <c r="I690" s="8"/>
      <c r="J690" s="8"/>
    </row>
    <row r="691">
      <c r="A691" s="8"/>
      <c r="B691" s="8" t="str">
        <f>IF(ISBLANK(A691),"",VLOOKUP(A691,DOI_URL!$B$1:$C$74,2,FALSE()))</f>
        <v/>
      </c>
      <c r="C691" s="8"/>
      <c r="D691" s="8"/>
      <c r="I691" s="8"/>
      <c r="J691" s="8"/>
    </row>
    <row r="692">
      <c r="A692" s="8"/>
      <c r="B692" s="8" t="str">
        <f>IF(ISBLANK(A692),"",VLOOKUP(A692,DOI_URL!$B$1:$C$74,2,FALSE()))</f>
        <v/>
      </c>
      <c r="C692" s="8"/>
      <c r="D692" s="8"/>
      <c r="I692" s="8"/>
      <c r="J692" s="8"/>
    </row>
    <row r="693">
      <c r="A693" s="8"/>
      <c r="B693" s="8" t="str">
        <f>IF(ISBLANK(A693),"",VLOOKUP(A693,DOI_URL!$B$1:$C$74,2,FALSE()))</f>
        <v/>
      </c>
      <c r="C693" s="8"/>
      <c r="D693" s="8"/>
      <c r="I693" s="8"/>
      <c r="J693" s="8"/>
    </row>
    <row r="694">
      <c r="A694" s="8"/>
      <c r="B694" s="8" t="str">
        <f>IF(ISBLANK(A694),"",VLOOKUP(A694,DOI_URL!$B$1:$C$74,2,FALSE()))</f>
        <v/>
      </c>
      <c r="C694" s="8"/>
      <c r="D694" s="8"/>
      <c r="I694" s="8"/>
      <c r="J694" s="8"/>
    </row>
    <row r="695">
      <c r="A695" s="8"/>
      <c r="B695" s="8" t="str">
        <f>IF(ISBLANK(A695),"",VLOOKUP(A695,DOI_URL!$B$1:$C$74,2,FALSE()))</f>
        <v/>
      </c>
      <c r="C695" s="8"/>
      <c r="D695" s="8"/>
      <c r="I695" s="8"/>
      <c r="J695" s="8"/>
    </row>
    <row r="696">
      <c r="A696" s="8"/>
      <c r="B696" s="8" t="str">
        <f>IF(ISBLANK(A696),"",VLOOKUP(A696,DOI_URL!$B$1:$C$74,2,FALSE()))</f>
        <v/>
      </c>
      <c r="C696" s="8"/>
      <c r="D696" s="8"/>
      <c r="I696" s="8"/>
      <c r="J696" s="8"/>
    </row>
    <row r="697">
      <c r="A697" s="8"/>
      <c r="B697" s="8" t="str">
        <f>IF(ISBLANK(A697),"",VLOOKUP(A697,DOI_URL!$B$1:$C$74,2,FALSE()))</f>
        <v/>
      </c>
      <c r="C697" s="8"/>
      <c r="D697" s="8"/>
      <c r="I697" s="8"/>
      <c r="J697" s="8"/>
    </row>
    <row r="698">
      <c r="A698" s="8"/>
      <c r="B698" s="8" t="str">
        <f>IF(ISBLANK(A698),"",VLOOKUP(A698,DOI_URL!$B$1:$C$74,2,FALSE()))</f>
        <v/>
      </c>
      <c r="C698" s="8"/>
      <c r="D698" s="8"/>
      <c r="I698" s="8"/>
      <c r="J698" s="8"/>
    </row>
    <row r="699">
      <c r="A699" s="8"/>
      <c r="B699" s="8" t="str">
        <f>IF(ISBLANK(A699),"",VLOOKUP(A699,DOI_URL!$B$1:$C$74,2,FALSE()))</f>
        <v/>
      </c>
      <c r="C699" s="8"/>
      <c r="D699" s="8"/>
      <c r="I699" s="8"/>
      <c r="J699" s="8"/>
    </row>
    <row r="700">
      <c r="A700" s="8"/>
      <c r="B700" s="8" t="str">
        <f>IF(ISBLANK(A700),"",VLOOKUP(A700,DOI_URL!$B$1:$C$74,2,FALSE()))</f>
        <v/>
      </c>
      <c r="C700" s="8"/>
      <c r="D700" s="8"/>
      <c r="I700" s="8"/>
      <c r="J700" s="8"/>
    </row>
    <row r="701">
      <c r="A701" s="8"/>
      <c r="B701" s="8" t="str">
        <f>IF(ISBLANK(A701),"",VLOOKUP(A701,DOI_URL!$B$1:$C$74,2,FALSE()))</f>
        <v/>
      </c>
      <c r="C701" s="8"/>
      <c r="D701" s="8"/>
      <c r="I701" s="8"/>
      <c r="J701" s="8"/>
    </row>
    <row r="702">
      <c r="A702" s="8"/>
      <c r="B702" s="8" t="str">
        <f>IF(ISBLANK(A702),"",VLOOKUP(A702,DOI_URL!$B$1:$C$74,2,FALSE()))</f>
        <v/>
      </c>
      <c r="C702" s="8"/>
      <c r="D702" s="8"/>
      <c r="I702" s="8"/>
      <c r="J702" s="8"/>
    </row>
    <row r="703">
      <c r="A703" s="8"/>
      <c r="B703" s="8" t="str">
        <f>IF(ISBLANK(A703),"",VLOOKUP(A703,DOI_URL!$B$1:$C$74,2,FALSE()))</f>
        <v/>
      </c>
      <c r="C703" s="8"/>
      <c r="D703" s="8"/>
      <c r="I703" s="8"/>
      <c r="J703" s="8"/>
    </row>
    <row r="704">
      <c r="A704" s="8"/>
      <c r="B704" s="8" t="str">
        <f>IF(ISBLANK(A704),"",VLOOKUP(A704,DOI_URL!$B$1:$C$74,2,FALSE()))</f>
        <v/>
      </c>
      <c r="C704" s="8"/>
      <c r="D704" s="8"/>
      <c r="I704" s="8"/>
      <c r="J704" s="8"/>
    </row>
    <row r="705">
      <c r="A705" s="8"/>
      <c r="B705" s="8" t="str">
        <f>IF(ISBLANK(A705),"",VLOOKUP(A705,DOI_URL!$B$1:$C$74,2,FALSE()))</f>
        <v/>
      </c>
      <c r="C705" s="8"/>
      <c r="D705" s="8"/>
      <c r="I705" s="8"/>
      <c r="J705" s="8"/>
    </row>
    <row r="706">
      <c r="A706" s="8"/>
      <c r="B706" s="8" t="str">
        <f>IF(ISBLANK(A706),"",VLOOKUP(A706,DOI_URL!$B$1:$C$74,2,FALSE()))</f>
        <v/>
      </c>
      <c r="C706" s="8"/>
      <c r="D706" s="8"/>
      <c r="I706" s="8"/>
      <c r="J706" s="8"/>
    </row>
    <row r="707">
      <c r="A707" s="8"/>
      <c r="B707" s="8" t="str">
        <f>IF(ISBLANK(A707),"",VLOOKUP(A707,DOI_URL!$B$1:$C$74,2,FALSE()))</f>
        <v/>
      </c>
      <c r="C707" s="8"/>
      <c r="D707" s="8"/>
      <c r="I707" s="8"/>
      <c r="J707" s="8"/>
    </row>
    <row r="708">
      <c r="A708" s="8"/>
      <c r="B708" s="8" t="str">
        <f>IF(ISBLANK(A708),"",VLOOKUP(A708,DOI_URL!$B$1:$C$74,2,FALSE()))</f>
        <v/>
      </c>
      <c r="C708" s="8"/>
      <c r="D708" s="8"/>
      <c r="I708" s="8"/>
      <c r="J708" s="8"/>
    </row>
    <row r="709">
      <c r="A709" s="8"/>
      <c r="B709" s="8" t="str">
        <f>IF(ISBLANK(A709),"",VLOOKUP(A709,DOI_URL!$B$1:$C$74,2,FALSE()))</f>
        <v/>
      </c>
      <c r="C709" s="8"/>
      <c r="D709" s="8"/>
      <c r="I709" s="8"/>
      <c r="J709" s="8"/>
    </row>
    <row r="710">
      <c r="A710" s="8"/>
      <c r="B710" s="8" t="str">
        <f>IF(ISBLANK(A710),"",VLOOKUP(A710,DOI_URL!$B$1:$C$74,2,FALSE()))</f>
        <v/>
      </c>
      <c r="C710" s="8"/>
      <c r="D710" s="8"/>
      <c r="I710" s="8"/>
      <c r="J710" s="8"/>
    </row>
    <row r="711">
      <c r="A711" s="8"/>
      <c r="B711" s="8" t="str">
        <f>IF(ISBLANK(A711),"",VLOOKUP(A711,DOI_URL!$B$1:$C$74,2,FALSE()))</f>
        <v/>
      </c>
      <c r="C711" s="8"/>
      <c r="D711" s="8"/>
      <c r="I711" s="8"/>
      <c r="J711" s="8"/>
    </row>
    <row r="712">
      <c r="A712" s="8"/>
      <c r="B712" s="8" t="str">
        <f>IF(ISBLANK(A712),"",VLOOKUP(A712,DOI_URL!$B$1:$C$74,2,FALSE()))</f>
        <v/>
      </c>
      <c r="C712" s="8"/>
      <c r="D712" s="8"/>
      <c r="I712" s="8"/>
      <c r="J712" s="8"/>
    </row>
    <row r="713">
      <c r="A713" s="8"/>
      <c r="B713" s="8" t="str">
        <f>IF(ISBLANK(A713),"",VLOOKUP(A713,DOI_URL!$B$1:$C$74,2,FALSE()))</f>
        <v/>
      </c>
      <c r="C713" s="8"/>
      <c r="D713" s="8"/>
      <c r="I713" s="8"/>
      <c r="J713" s="8"/>
    </row>
    <row r="714">
      <c r="A714" s="8"/>
      <c r="B714" s="8" t="str">
        <f>IF(ISBLANK(A714),"",VLOOKUP(A714,DOI_URL!$B$1:$C$74,2,FALSE()))</f>
        <v/>
      </c>
      <c r="C714" s="8"/>
      <c r="D714" s="8"/>
      <c r="I714" s="8"/>
      <c r="J714" s="8"/>
    </row>
    <row r="715">
      <c r="A715" s="8"/>
      <c r="B715" s="8" t="str">
        <f>IF(ISBLANK(A715),"",VLOOKUP(A715,DOI_URL!$B$1:$C$74,2,FALSE()))</f>
        <v/>
      </c>
      <c r="C715" s="8"/>
      <c r="D715" s="8"/>
      <c r="I715" s="8"/>
      <c r="J715" s="8"/>
    </row>
    <row r="716">
      <c r="A716" s="8"/>
      <c r="B716" s="8" t="str">
        <f>IF(ISBLANK(A716),"",VLOOKUP(A716,DOI_URL!$B$1:$C$74,2,FALSE()))</f>
        <v/>
      </c>
      <c r="C716" s="8"/>
      <c r="D716" s="8"/>
      <c r="I716" s="8"/>
      <c r="J716" s="8"/>
    </row>
    <row r="717">
      <c r="A717" s="8"/>
      <c r="B717" s="8" t="str">
        <f>IF(ISBLANK(A717),"",VLOOKUP(A717,DOI_URL!$B$1:$C$74,2,FALSE()))</f>
        <v/>
      </c>
      <c r="C717" s="8"/>
      <c r="D717" s="8"/>
      <c r="I717" s="8"/>
      <c r="J717" s="8"/>
    </row>
    <row r="718">
      <c r="A718" s="8"/>
      <c r="B718" s="8" t="str">
        <f>IF(ISBLANK(A718),"",VLOOKUP(A718,DOI_URL!$B$1:$C$74,2,FALSE()))</f>
        <v/>
      </c>
      <c r="C718" s="8"/>
      <c r="D718" s="8"/>
      <c r="I718" s="8"/>
      <c r="J718" s="8"/>
    </row>
    <row r="719">
      <c r="A719" s="8"/>
      <c r="B719" s="8" t="str">
        <f>IF(ISBLANK(A719),"",VLOOKUP(A719,DOI_URL!$B$1:$C$74,2,FALSE()))</f>
        <v/>
      </c>
      <c r="C719" s="8"/>
      <c r="D719" s="8"/>
      <c r="I719" s="8"/>
      <c r="J719" s="8"/>
    </row>
    <row r="720">
      <c r="A720" s="8"/>
      <c r="B720" s="8" t="str">
        <f>IF(ISBLANK(A720),"",VLOOKUP(A720,DOI_URL!$B$1:$C$74,2,FALSE()))</f>
        <v/>
      </c>
      <c r="C720" s="8"/>
      <c r="D720" s="8"/>
      <c r="I720" s="8"/>
      <c r="J720" s="8"/>
    </row>
    <row r="721">
      <c r="A721" s="8"/>
      <c r="B721" s="8" t="str">
        <f>IF(ISBLANK(A721),"",VLOOKUP(A721,DOI_URL!$B$1:$C$74,2,FALSE()))</f>
        <v/>
      </c>
      <c r="C721" s="8"/>
      <c r="D721" s="8"/>
      <c r="I721" s="8"/>
      <c r="J721" s="8"/>
    </row>
    <row r="722">
      <c r="A722" s="8"/>
      <c r="B722" s="8" t="str">
        <f>IF(ISBLANK(A722),"",VLOOKUP(A722,DOI_URL!$B$1:$C$74,2,FALSE()))</f>
        <v/>
      </c>
      <c r="C722" s="8"/>
      <c r="D722" s="8"/>
      <c r="I722" s="8"/>
      <c r="J722" s="8"/>
    </row>
    <row r="723">
      <c r="A723" s="8"/>
      <c r="B723" s="8" t="str">
        <f>IF(ISBLANK(A723),"",VLOOKUP(A723,DOI_URL!$B$1:$C$74,2,FALSE()))</f>
        <v/>
      </c>
      <c r="C723" s="8"/>
      <c r="D723" s="8"/>
      <c r="I723" s="8"/>
      <c r="J723" s="8"/>
    </row>
    <row r="724">
      <c r="A724" s="8"/>
      <c r="B724" s="8" t="str">
        <f>IF(ISBLANK(A724),"",VLOOKUP(A724,DOI_URL!$B$1:$C$74,2,FALSE()))</f>
        <v/>
      </c>
      <c r="C724" s="8"/>
      <c r="D724" s="8"/>
      <c r="I724" s="8"/>
      <c r="J724" s="8"/>
    </row>
    <row r="725">
      <c r="A725" s="8"/>
      <c r="B725" s="8" t="str">
        <f>IF(ISBLANK(A725),"",VLOOKUP(A725,DOI_URL!$B$1:$C$74,2,FALSE()))</f>
        <v/>
      </c>
      <c r="C725" s="8"/>
      <c r="D725" s="8"/>
      <c r="I725" s="8"/>
      <c r="J725" s="8"/>
    </row>
    <row r="726">
      <c r="A726" s="8"/>
      <c r="B726" s="8" t="str">
        <f>IF(ISBLANK(A726),"",VLOOKUP(A726,DOI_URL!$B$1:$C$74,2,FALSE()))</f>
        <v/>
      </c>
      <c r="C726" s="8"/>
      <c r="D726" s="8"/>
      <c r="I726" s="8"/>
      <c r="J726" s="8"/>
    </row>
    <row r="727">
      <c r="A727" s="8"/>
      <c r="B727" s="8" t="str">
        <f>IF(ISBLANK(A727),"",VLOOKUP(A727,DOI_URL!$B$1:$C$74,2,FALSE()))</f>
        <v/>
      </c>
      <c r="C727" s="8"/>
      <c r="D727" s="8"/>
      <c r="I727" s="8"/>
      <c r="J727" s="8"/>
    </row>
    <row r="728">
      <c r="A728" s="8"/>
      <c r="B728" s="8" t="str">
        <f>IF(ISBLANK(A728),"",VLOOKUP(A728,DOI_URL!$B$1:$C$74,2,FALSE()))</f>
        <v/>
      </c>
      <c r="C728" s="8"/>
      <c r="D728" s="8"/>
      <c r="I728" s="8"/>
      <c r="J728" s="8"/>
    </row>
    <row r="729">
      <c r="A729" s="8"/>
      <c r="B729" s="8" t="str">
        <f>IF(ISBLANK(A729),"",VLOOKUP(A729,DOI_URL!$B$1:$C$74,2,FALSE()))</f>
        <v/>
      </c>
      <c r="C729" s="8"/>
      <c r="D729" s="8"/>
      <c r="I729" s="8"/>
      <c r="J729" s="8"/>
    </row>
    <row r="730">
      <c r="A730" s="8"/>
      <c r="B730" s="8" t="str">
        <f>IF(ISBLANK(A730),"",VLOOKUP(A730,DOI_URL!$B$1:$C$74,2,FALSE()))</f>
        <v/>
      </c>
      <c r="C730" s="8"/>
      <c r="D730" s="8"/>
      <c r="I730" s="8"/>
      <c r="J730" s="8"/>
    </row>
    <row r="731">
      <c r="A731" s="8"/>
      <c r="B731" s="8" t="str">
        <f>IF(ISBLANK(A731),"",VLOOKUP(A731,DOI_URL!$B$1:$C$74,2,FALSE()))</f>
        <v/>
      </c>
      <c r="C731" s="8"/>
      <c r="D731" s="8"/>
      <c r="I731" s="8"/>
      <c r="J731" s="8"/>
    </row>
    <row r="732">
      <c r="A732" s="8"/>
      <c r="B732" s="8" t="str">
        <f>IF(ISBLANK(A732),"",VLOOKUP(A732,DOI_URL!$B$1:$C$74,2,FALSE()))</f>
        <v/>
      </c>
      <c r="C732" s="8"/>
      <c r="D732" s="8"/>
      <c r="I732" s="8"/>
      <c r="J732" s="8"/>
    </row>
    <row r="733">
      <c r="A733" s="8"/>
      <c r="B733" s="8" t="str">
        <f>IF(ISBLANK(A733),"",VLOOKUP(A733,DOI_URL!$B$1:$C$74,2,FALSE()))</f>
        <v/>
      </c>
      <c r="C733" s="8"/>
      <c r="D733" s="8"/>
      <c r="I733" s="8"/>
      <c r="J733" s="8"/>
    </row>
    <row r="734">
      <c r="A734" s="8"/>
      <c r="B734" s="8" t="str">
        <f>IF(ISBLANK(A734),"",VLOOKUP(A734,DOI_URL!$B$1:$C$74,2,FALSE()))</f>
        <v/>
      </c>
      <c r="C734" s="8"/>
      <c r="D734" s="8"/>
      <c r="I734" s="8"/>
      <c r="J734" s="8"/>
    </row>
    <row r="735">
      <c r="A735" s="8"/>
      <c r="B735" s="8" t="str">
        <f>IF(ISBLANK(A735),"",VLOOKUP(A735,DOI_URL!$B$1:$C$74,2,FALSE()))</f>
        <v/>
      </c>
      <c r="C735" s="8"/>
      <c r="D735" s="8"/>
      <c r="I735" s="8"/>
      <c r="J735" s="8"/>
    </row>
    <row r="736">
      <c r="A736" s="8"/>
      <c r="B736" s="8" t="str">
        <f>IF(ISBLANK(A736),"",VLOOKUP(A736,DOI_URL!$B$1:$C$74,2,FALSE()))</f>
        <v/>
      </c>
      <c r="C736" s="8"/>
      <c r="D736" s="8"/>
      <c r="I736" s="8"/>
      <c r="J736" s="8"/>
    </row>
    <row r="737">
      <c r="A737" s="8"/>
      <c r="B737" s="8" t="str">
        <f>IF(ISBLANK(A737),"",VLOOKUP(A737,DOI_URL!$B$1:$C$74,2,FALSE()))</f>
        <v/>
      </c>
      <c r="C737" s="8"/>
      <c r="D737" s="8"/>
      <c r="I737" s="8"/>
      <c r="J737" s="8"/>
    </row>
    <row r="738">
      <c r="A738" s="8"/>
      <c r="B738" s="8" t="str">
        <f>IF(ISBLANK(A738),"",VLOOKUP(A738,DOI_URL!$B$1:$C$74,2,FALSE()))</f>
        <v/>
      </c>
      <c r="C738" s="8"/>
      <c r="D738" s="8"/>
      <c r="I738" s="8"/>
      <c r="J738" s="8"/>
    </row>
    <row r="739">
      <c r="A739" s="8"/>
      <c r="B739" s="8" t="str">
        <f>IF(ISBLANK(A739),"",VLOOKUP(A739,DOI_URL!$B$1:$C$74,2,FALSE()))</f>
        <v/>
      </c>
      <c r="C739" s="8"/>
      <c r="D739" s="8"/>
      <c r="I739" s="8"/>
      <c r="J739" s="8"/>
    </row>
    <row r="740">
      <c r="A740" s="8"/>
      <c r="B740" s="8" t="str">
        <f>IF(ISBLANK(A740),"",VLOOKUP(A740,DOI_URL!$B$1:$C$74,2,FALSE()))</f>
        <v/>
      </c>
      <c r="C740" s="8"/>
      <c r="D740" s="8"/>
      <c r="I740" s="8"/>
      <c r="J740" s="8"/>
    </row>
    <row r="741">
      <c r="A741" s="8"/>
      <c r="B741" s="8" t="str">
        <f>IF(ISBLANK(A741),"",VLOOKUP(A741,DOI_URL!$B$1:$C$74,2,FALSE()))</f>
        <v/>
      </c>
      <c r="C741" s="8"/>
      <c r="D741" s="8"/>
      <c r="I741" s="8"/>
      <c r="J741" s="8"/>
    </row>
    <row r="742">
      <c r="A742" s="8"/>
      <c r="B742" s="8" t="str">
        <f>IF(ISBLANK(A742),"",VLOOKUP(A742,DOI_URL!$B$1:$C$74,2,FALSE()))</f>
        <v/>
      </c>
      <c r="C742" s="8"/>
      <c r="D742" s="8"/>
      <c r="I742" s="8"/>
      <c r="J742" s="8"/>
    </row>
    <row r="743">
      <c r="A743" s="8"/>
      <c r="B743" s="8" t="str">
        <f>IF(ISBLANK(A743),"",VLOOKUP(A743,DOI_URL!$B$1:$C$74,2,FALSE()))</f>
        <v/>
      </c>
      <c r="C743" s="8"/>
      <c r="D743" s="8"/>
      <c r="I743" s="8"/>
      <c r="J743" s="8"/>
    </row>
    <row r="744">
      <c r="A744" s="8"/>
      <c r="B744" s="8" t="str">
        <f>IF(ISBLANK(A744),"",VLOOKUP(A744,DOI_URL!$B$1:$C$74,2,FALSE()))</f>
        <v/>
      </c>
      <c r="C744" s="8"/>
      <c r="D744" s="8"/>
      <c r="I744" s="8"/>
      <c r="J744" s="8"/>
    </row>
    <row r="745">
      <c r="A745" s="8"/>
      <c r="B745" s="8" t="str">
        <f>IF(ISBLANK(A745),"",VLOOKUP(A745,DOI_URL!$B$1:$C$74,2,FALSE()))</f>
        <v/>
      </c>
      <c r="C745" s="8"/>
      <c r="D745" s="8"/>
      <c r="I745" s="8"/>
      <c r="J745" s="8"/>
    </row>
    <row r="746">
      <c r="A746" s="8"/>
      <c r="B746" s="8" t="str">
        <f>IF(ISBLANK(A746),"",VLOOKUP(A746,DOI_URL!$B$1:$C$74,2,FALSE()))</f>
        <v/>
      </c>
      <c r="C746" s="8"/>
      <c r="D746" s="8"/>
      <c r="I746" s="8"/>
      <c r="J746" s="8"/>
    </row>
    <row r="747">
      <c r="A747" s="8"/>
      <c r="B747" s="8" t="str">
        <f>IF(ISBLANK(A747),"",VLOOKUP(A747,DOI_URL!$B$1:$C$74,2,FALSE()))</f>
        <v/>
      </c>
      <c r="C747" s="8"/>
      <c r="D747" s="8"/>
      <c r="I747" s="8"/>
      <c r="J747" s="8"/>
    </row>
    <row r="748">
      <c r="A748" s="8"/>
      <c r="B748" s="8" t="str">
        <f>IF(ISBLANK(A748),"",VLOOKUP(A748,DOI_URL!$B$1:$C$74,2,FALSE()))</f>
        <v/>
      </c>
      <c r="C748" s="8"/>
      <c r="D748" s="8"/>
      <c r="I748" s="8"/>
      <c r="J748" s="8"/>
    </row>
    <row r="749">
      <c r="A749" s="8"/>
      <c r="B749" s="8" t="str">
        <f>IF(ISBLANK(A749),"",VLOOKUP(A749,DOI_URL!$B$1:$C$74,2,FALSE()))</f>
        <v/>
      </c>
      <c r="C749" s="8"/>
      <c r="D749" s="8"/>
      <c r="I749" s="8"/>
      <c r="J749" s="8"/>
    </row>
    <row r="750">
      <c r="A750" s="8"/>
      <c r="B750" s="8" t="str">
        <f>IF(ISBLANK(A750),"",VLOOKUP(A750,DOI_URL!$B$1:$C$74,2,FALSE()))</f>
        <v/>
      </c>
      <c r="C750" s="8"/>
      <c r="D750" s="8"/>
      <c r="I750" s="8"/>
      <c r="J750" s="8"/>
    </row>
    <row r="751">
      <c r="A751" s="8"/>
      <c r="B751" s="8" t="str">
        <f>IF(ISBLANK(A751),"",VLOOKUP(A751,DOI_URL!$B$1:$C$74,2,FALSE()))</f>
        <v/>
      </c>
      <c r="C751" s="8"/>
      <c r="D751" s="8"/>
      <c r="I751" s="8"/>
      <c r="J751" s="8"/>
    </row>
    <row r="752">
      <c r="A752" s="8"/>
      <c r="B752" s="8" t="str">
        <f>IF(ISBLANK(A752),"",VLOOKUP(A752,DOI_URL!$B$1:$C$74,2,FALSE()))</f>
        <v/>
      </c>
      <c r="C752" s="8"/>
      <c r="D752" s="8"/>
      <c r="I752" s="8"/>
      <c r="J752" s="8"/>
    </row>
    <row r="753">
      <c r="A753" s="8"/>
      <c r="B753" s="8" t="str">
        <f>IF(ISBLANK(A753),"",VLOOKUP(A753,DOI_URL!$B$1:$C$74,2,FALSE()))</f>
        <v/>
      </c>
      <c r="C753" s="8"/>
      <c r="D753" s="8"/>
      <c r="I753" s="8"/>
      <c r="J753" s="8"/>
    </row>
    <row r="754">
      <c r="A754" s="8"/>
      <c r="B754" s="8" t="str">
        <f>IF(ISBLANK(A754),"",VLOOKUP(A754,DOI_URL!$B$1:$C$74,2,FALSE()))</f>
        <v/>
      </c>
      <c r="C754" s="8"/>
      <c r="D754" s="8"/>
      <c r="I754" s="8"/>
      <c r="J754" s="8"/>
    </row>
    <row r="755">
      <c r="A755" s="8"/>
      <c r="B755" s="8" t="str">
        <f>IF(ISBLANK(A755),"",VLOOKUP(A755,DOI_URL!$B$1:$C$74,2,FALSE()))</f>
        <v/>
      </c>
      <c r="C755" s="8"/>
      <c r="D755" s="8"/>
      <c r="I755" s="8"/>
      <c r="J755" s="8"/>
    </row>
    <row r="756">
      <c r="A756" s="8"/>
      <c r="B756" s="8" t="str">
        <f>IF(ISBLANK(A756),"",VLOOKUP(A756,DOI_URL!$B$1:$C$74,2,FALSE()))</f>
        <v/>
      </c>
      <c r="C756" s="8"/>
      <c r="D756" s="8"/>
      <c r="I756" s="8"/>
      <c r="J756" s="8"/>
    </row>
    <row r="757">
      <c r="A757" s="8"/>
      <c r="B757" s="8" t="str">
        <f>IF(ISBLANK(A757),"",VLOOKUP(A757,DOI_URL!$B$1:$C$74,2,FALSE()))</f>
        <v/>
      </c>
      <c r="C757" s="8"/>
      <c r="D757" s="8"/>
      <c r="I757" s="8"/>
      <c r="J757" s="8"/>
    </row>
    <row r="758">
      <c r="A758" s="8"/>
      <c r="B758" s="8" t="str">
        <f>IF(ISBLANK(A758),"",VLOOKUP(A758,DOI_URL!$B$1:$C$74,2,FALSE()))</f>
        <v/>
      </c>
      <c r="C758" s="8"/>
      <c r="D758" s="8"/>
      <c r="I758" s="8"/>
      <c r="J758" s="8"/>
    </row>
    <row r="759">
      <c r="A759" s="8"/>
      <c r="B759" s="8" t="str">
        <f>IF(ISBLANK(A759),"",VLOOKUP(A759,DOI_URL!$B$1:$C$74,2,FALSE()))</f>
        <v/>
      </c>
      <c r="C759" s="8"/>
      <c r="D759" s="8"/>
      <c r="I759" s="8"/>
      <c r="J759" s="8"/>
    </row>
    <row r="760">
      <c r="A760" s="8"/>
      <c r="B760" s="8" t="str">
        <f>IF(ISBLANK(A760),"",VLOOKUP(A760,DOI_URL!$B$1:$C$74,2,FALSE()))</f>
        <v/>
      </c>
      <c r="C760" s="8"/>
      <c r="D760" s="8"/>
      <c r="I760" s="8"/>
      <c r="J760" s="8"/>
    </row>
    <row r="761">
      <c r="A761" s="8"/>
      <c r="B761" s="8" t="str">
        <f>IF(ISBLANK(A761),"",VLOOKUP(A761,DOI_URL!$B$1:$C$74,2,FALSE()))</f>
        <v/>
      </c>
      <c r="C761" s="8"/>
      <c r="D761" s="8"/>
      <c r="I761" s="8"/>
      <c r="J761" s="8"/>
    </row>
    <row r="762">
      <c r="A762" s="8"/>
      <c r="B762" s="8" t="str">
        <f>IF(ISBLANK(A762),"",VLOOKUP(A762,DOI_URL!$B$1:$C$74,2,FALSE()))</f>
        <v/>
      </c>
      <c r="C762" s="8"/>
      <c r="D762" s="8"/>
      <c r="I762" s="8"/>
      <c r="J762" s="8"/>
    </row>
    <row r="763">
      <c r="A763" s="8"/>
      <c r="B763" s="8" t="str">
        <f>IF(ISBLANK(A763),"",VLOOKUP(A763,DOI_URL!$B$1:$C$74,2,FALSE()))</f>
        <v/>
      </c>
      <c r="C763" s="8"/>
      <c r="D763" s="8"/>
      <c r="I763" s="8"/>
      <c r="J763" s="8"/>
    </row>
    <row r="764">
      <c r="A764" s="8"/>
      <c r="B764" s="8" t="str">
        <f>IF(ISBLANK(A764),"",VLOOKUP(A764,DOI_URL!$B$1:$C$74,2,FALSE()))</f>
        <v/>
      </c>
      <c r="C764" s="8"/>
      <c r="D764" s="8"/>
      <c r="I764" s="8"/>
      <c r="J764" s="8"/>
    </row>
    <row r="765">
      <c r="A765" s="8"/>
      <c r="B765" s="8" t="str">
        <f>IF(ISBLANK(A765),"",VLOOKUP(A765,DOI_URL!$B$1:$C$74,2,FALSE()))</f>
        <v/>
      </c>
      <c r="C765" s="8"/>
      <c r="D765" s="8"/>
      <c r="I765" s="8"/>
      <c r="J765" s="8"/>
    </row>
    <row r="766">
      <c r="A766" s="8"/>
      <c r="B766" s="8" t="str">
        <f>IF(ISBLANK(A766),"",VLOOKUP(A766,DOI_URL!$B$1:$C$74,2,FALSE()))</f>
        <v/>
      </c>
      <c r="C766" s="8"/>
      <c r="D766" s="8"/>
      <c r="I766" s="8"/>
      <c r="J766" s="8"/>
    </row>
    <row r="767">
      <c r="A767" s="8"/>
      <c r="B767" s="8" t="str">
        <f>IF(ISBLANK(A767),"",VLOOKUP(A767,DOI_URL!$B$1:$C$74,2,FALSE()))</f>
        <v/>
      </c>
      <c r="C767" s="8"/>
      <c r="D767" s="8"/>
      <c r="I767" s="8"/>
      <c r="J767" s="8"/>
    </row>
    <row r="768">
      <c r="A768" s="8"/>
      <c r="B768" s="8" t="str">
        <f>IF(ISBLANK(A768),"",VLOOKUP(A768,DOI_URL!$B$1:$C$74,2,FALSE()))</f>
        <v/>
      </c>
      <c r="C768" s="8"/>
      <c r="D768" s="8"/>
      <c r="I768" s="8"/>
      <c r="J768" s="8"/>
    </row>
    <row r="769">
      <c r="A769" s="8"/>
      <c r="B769" s="8" t="str">
        <f>IF(ISBLANK(A769),"",VLOOKUP(A769,DOI_URL!$B$1:$C$74,2,FALSE()))</f>
        <v/>
      </c>
      <c r="C769" s="8"/>
      <c r="D769" s="8"/>
      <c r="I769" s="8"/>
      <c r="J769" s="8"/>
    </row>
    <row r="770">
      <c r="A770" s="8"/>
      <c r="B770" s="8" t="str">
        <f>IF(ISBLANK(A770),"",VLOOKUP(A770,DOI_URL!$B$1:$C$74,2,FALSE()))</f>
        <v/>
      </c>
      <c r="C770" s="8"/>
      <c r="D770" s="8"/>
      <c r="I770" s="8"/>
      <c r="J770" s="8"/>
    </row>
    <row r="771">
      <c r="A771" s="8"/>
      <c r="B771" s="8" t="str">
        <f>IF(ISBLANK(A771),"",VLOOKUP(A771,DOI_URL!$B$1:$C$74,2,FALSE()))</f>
        <v/>
      </c>
      <c r="C771" s="8"/>
      <c r="D771" s="8"/>
      <c r="I771" s="8"/>
      <c r="J771" s="8"/>
    </row>
    <row r="772">
      <c r="A772" s="8"/>
      <c r="B772" s="8" t="str">
        <f>IF(ISBLANK(A772),"",VLOOKUP(A772,DOI_URL!$B$1:$C$74,2,FALSE()))</f>
        <v/>
      </c>
      <c r="C772" s="8"/>
      <c r="D772" s="8"/>
      <c r="I772" s="8"/>
      <c r="J772" s="8"/>
    </row>
    <row r="773">
      <c r="A773" s="8"/>
      <c r="B773" s="8" t="str">
        <f>IF(ISBLANK(A773),"",VLOOKUP(A773,DOI_URL!$B$1:$C$74,2,FALSE()))</f>
        <v/>
      </c>
      <c r="C773" s="8"/>
      <c r="D773" s="8"/>
      <c r="I773" s="8"/>
      <c r="J773" s="8"/>
    </row>
    <row r="774">
      <c r="A774" s="8"/>
      <c r="B774" s="8" t="str">
        <f>IF(ISBLANK(A774),"",VLOOKUP(A774,DOI_URL!$B$1:$C$74,2,FALSE()))</f>
        <v/>
      </c>
      <c r="C774" s="8"/>
      <c r="D774" s="8"/>
      <c r="I774" s="8"/>
      <c r="J774" s="8"/>
    </row>
    <row r="775">
      <c r="A775" s="8"/>
      <c r="B775" s="8" t="str">
        <f>IF(ISBLANK(A775),"",VLOOKUP(A775,DOI_URL!$B$1:$C$74,2,FALSE()))</f>
        <v/>
      </c>
      <c r="C775" s="8"/>
      <c r="D775" s="8"/>
      <c r="I775" s="8"/>
      <c r="J775" s="8"/>
    </row>
    <row r="776">
      <c r="A776" s="8"/>
      <c r="B776" s="8" t="str">
        <f>IF(ISBLANK(A776),"",VLOOKUP(A776,DOI_URL!$B$1:$C$74,2,FALSE()))</f>
        <v/>
      </c>
      <c r="C776" s="8"/>
      <c r="D776" s="8"/>
      <c r="I776" s="8"/>
      <c r="J776" s="8"/>
    </row>
    <row r="777">
      <c r="A777" s="8"/>
      <c r="B777" s="8" t="str">
        <f>IF(ISBLANK(A777),"",VLOOKUP(A777,DOI_URL!$B$1:$C$74,2,FALSE()))</f>
        <v/>
      </c>
      <c r="C777" s="8"/>
      <c r="D777" s="8"/>
      <c r="I777" s="8"/>
      <c r="J777" s="8"/>
    </row>
    <row r="778">
      <c r="A778" s="8"/>
      <c r="B778" s="8" t="str">
        <f>IF(ISBLANK(A778),"",VLOOKUP(A778,DOI_URL!$B$1:$C$74,2,FALSE()))</f>
        <v/>
      </c>
      <c r="C778" s="8"/>
      <c r="D778" s="8"/>
      <c r="I778" s="8"/>
      <c r="J778" s="8"/>
    </row>
    <row r="779">
      <c r="A779" s="8"/>
      <c r="B779" s="8" t="str">
        <f>IF(ISBLANK(A779),"",VLOOKUP(A779,DOI_URL!$B$1:$C$74,2,FALSE()))</f>
        <v/>
      </c>
      <c r="C779" s="8"/>
      <c r="D779" s="8"/>
      <c r="I779" s="8"/>
      <c r="J779" s="8"/>
    </row>
    <row r="780">
      <c r="A780" s="8"/>
      <c r="B780" s="8" t="str">
        <f>IF(ISBLANK(A780),"",VLOOKUP(A780,DOI_URL!$B$1:$C$74,2,FALSE()))</f>
        <v/>
      </c>
      <c r="C780" s="8"/>
      <c r="D780" s="8"/>
      <c r="I780" s="8"/>
      <c r="J780" s="8"/>
    </row>
    <row r="781">
      <c r="A781" s="8"/>
      <c r="B781" s="8" t="str">
        <f>IF(ISBLANK(A781),"",VLOOKUP(A781,DOI_URL!$B$1:$C$74,2,FALSE()))</f>
        <v/>
      </c>
      <c r="C781" s="8"/>
      <c r="D781" s="8"/>
      <c r="I781" s="8"/>
      <c r="J781" s="8"/>
    </row>
    <row r="782">
      <c r="A782" s="8"/>
      <c r="B782" s="8" t="str">
        <f>IF(ISBLANK(A782),"",VLOOKUP(A782,DOI_URL!$B$1:$C$74,2,FALSE()))</f>
        <v/>
      </c>
      <c r="C782" s="8"/>
      <c r="D782" s="8"/>
      <c r="I782" s="8"/>
      <c r="J782" s="8"/>
    </row>
    <row r="783">
      <c r="A783" s="8"/>
      <c r="B783" s="8" t="str">
        <f>IF(ISBLANK(A783),"",VLOOKUP(A783,DOI_URL!$B$1:$C$74,2,FALSE()))</f>
        <v/>
      </c>
      <c r="C783" s="8"/>
      <c r="D783" s="8"/>
      <c r="I783" s="8"/>
      <c r="J783" s="8"/>
    </row>
    <row r="784">
      <c r="A784" s="8"/>
      <c r="B784" s="8" t="str">
        <f>IF(ISBLANK(A784),"",VLOOKUP(A784,DOI_URL!$B$1:$C$74,2,FALSE()))</f>
        <v/>
      </c>
      <c r="C784" s="8"/>
      <c r="D784" s="8"/>
      <c r="I784" s="8"/>
      <c r="J784" s="8"/>
    </row>
    <row r="785">
      <c r="A785" s="8"/>
      <c r="B785" s="8" t="str">
        <f>IF(ISBLANK(A785),"",VLOOKUP(A785,DOI_URL!$B$1:$C$74,2,FALSE()))</f>
        <v/>
      </c>
      <c r="C785" s="8"/>
      <c r="D785" s="8"/>
      <c r="I785" s="8"/>
      <c r="J785" s="8"/>
    </row>
    <row r="786">
      <c r="A786" s="8"/>
      <c r="B786" s="8" t="str">
        <f>IF(ISBLANK(A786),"",VLOOKUP(A786,DOI_URL!$B$1:$C$74,2,FALSE()))</f>
        <v/>
      </c>
      <c r="C786" s="8"/>
      <c r="D786" s="8"/>
      <c r="I786" s="8"/>
      <c r="J786" s="8"/>
    </row>
    <row r="787">
      <c r="A787" s="8"/>
      <c r="B787" s="8" t="str">
        <f>IF(ISBLANK(A787),"",VLOOKUP(A787,DOI_URL!$B$1:$C$74,2,FALSE()))</f>
        <v/>
      </c>
      <c r="C787" s="8"/>
      <c r="D787" s="8"/>
      <c r="I787" s="8"/>
      <c r="J787" s="8"/>
    </row>
    <row r="788">
      <c r="A788" s="8"/>
      <c r="B788" s="8" t="str">
        <f>IF(ISBLANK(A788),"",VLOOKUP(A788,DOI_URL!$B$1:$C$74,2,FALSE()))</f>
        <v/>
      </c>
      <c r="C788" s="8"/>
      <c r="D788" s="8"/>
      <c r="I788" s="8"/>
      <c r="J788" s="8"/>
    </row>
    <row r="789">
      <c r="A789" s="8"/>
      <c r="B789" s="8" t="str">
        <f>IF(ISBLANK(A789),"",VLOOKUP(A789,DOI_URL!$B$1:$C$74,2,FALSE()))</f>
        <v/>
      </c>
      <c r="C789" s="8"/>
      <c r="D789" s="8"/>
      <c r="I789" s="8"/>
      <c r="J789" s="8"/>
    </row>
    <row r="790">
      <c r="A790" s="8"/>
      <c r="B790" s="8" t="str">
        <f>IF(ISBLANK(A790),"",VLOOKUP(A790,DOI_URL!$B$1:$C$74,2,FALSE()))</f>
        <v/>
      </c>
      <c r="C790" s="8"/>
      <c r="D790" s="8"/>
      <c r="I790" s="8"/>
      <c r="J790" s="8"/>
    </row>
    <row r="791">
      <c r="A791" s="8"/>
      <c r="B791" s="8" t="str">
        <f>IF(ISBLANK(A791),"",VLOOKUP(A791,DOI_URL!$B$1:$C$74,2,FALSE()))</f>
        <v/>
      </c>
      <c r="C791" s="8"/>
      <c r="D791" s="8"/>
      <c r="I791" s="8"/>
      <c r="J791" s="8"/>
    </row>
    <row r="792">
      <c r="A792" s="8"/>
      <c r="B792" s="8" t="str">
        <f>IF(ISBLANK(A792),"",VLOOKUP(A792,DOI_URL!$B$1:$C$74,2,FALSE()))</f>
        <v/>
      </c>
      <c r="C792" s="8"/>
      <c r="D792" s="8"/>
      <c r="I792" s="8"/>
      <c r="J792" s="8"/>
    </row>
    <row r="793">
      <c r="A793" s="8"/>
      <c r="B793" s="8" t="str">
        <f>IF(ISBLANK(A793),"",VLOOKUP(A793,DOI_URL!$B$1:$C$74,2,FALSE()))</f>
        <v/>
      </c>
      <c r="C793" s="8"/>
      <c r="D793" s="8"/>
      <c r="I793" s="8"/>
      <c r="J793" s="8"/>
    </row>
    <row r="794">
      <c r="A794" s="8"/>
      <c r="B794" s="8" t="str">
        <f>IF(ISBLANK(A794),"",VLOOKUP(A794,DOI_URL!$B$1:$C$74,2,FALSE()))</f>
        <v/>
      </c>
      <c r="C794" s="8"/>
      <c r="D794" s="8"/>
      <c r="I794" s="8"/>
      <c r="J794" s="8"/>
    </row>
    <row r="795">
      <c r="A795" s="8"/>
      <c r="B795" s="8" t="str">
        <f>IF(ISBLANK(A795),"",VLOOKUP(A795,DOI_URL!$B$1:$C$74,2,FALSE()))</f>
        <v/>
      </c>
      <c r="C795" s="8"/>
      <c r="D795" s="8"/>
      <c r="I795" s="8"/>
      <c r="J795" s="8"/>
    </row>
    <row r="796">
      <c r="A796" s="8"/>
      <c r="B796" s="8" t="str">
        <f>IF(ISBLANK(A796),"",VLOOKUP(A796,DOI_URL!$B$1:$C$74,2,FALSE()))</f>
        <v/>
      </c>
      <c r="C796" s="8"/>
      <c r="D796" s="8"/>
      <c r="I796" s="8"/>
      <c r="J796" s="8"/>
    </row>
    <row r="797">
      <c r="A797" s="8"/>
      <c r="B797" s="8" t="str">
        <f>IF(ISBLANK(A797),"",VLOOKUP(A797,DOI_URL!$B$1:$C$74,2,FALSE()))</f>
        <v/>
      </c>
      <c r="C797" s="8"/>
      <c r="D797" s="8"/>
      <c r="I797" s="8"/>
      <c r="J797" s="8"/>
    </row>
    <row r="798">
      <c r="A798" s="8"/>
      <c r="B798" s="8" t="str">
        <f>IF(ISBLANK(A798),"",VLOOKUP(A798,DOI_URL!$B$1:$C$74,2,FALSE()))</f>
        <v/>
      </c>
      <c r="C798" s="8"/>
      <c r="D798" s="8"/>
      <c r="I798" s="8"/>
      <c r="J798" s="8"/>
    </row>
    <row r="799">
      <c r="A799" s="8"/>
      <c r="B799" s="8" t="str">
        <f>IF(ISBLANK(A799),"",VLOOKUP(A799,DOI_URL!$B$1:$C$74,2,FALSE()))</f>
        <v/>
      </c>
      <c r="C799" s="8"/>
      <c r="D799" s="8"/>
      <c r="I799" s="8"/>
      <c r="J799" s="8"/>
    </row>
    <row r="800">
      <c r="A800" s="8"/>
      <c r="B800" s="8" t="str">
        <f>IF(ISBLANK(A800),"",VLOOKUP(A800,DOI_URL!$B$1:$C$74,2,FALSE()))</f>
        <v/>
      </c>
      <c r="C800" s="8"/>
      <c r="D800" s="8"/>
      <c r="I800" s="8"/>
      <c r="J800" s="8"/>
    </row>
    <row r="801">
      <c r="A801" s="8"/>
      <c r="B801" s="8" t="str">
        <f>IF(ISBLANK(A801),"",VLOOKUP(A801,DOI_URL!$B$1:$C$74,2,FALSE()))</f>
        <v/>
      </c>
      <c r="C801" s="8"/>
      <c r="D801" s="8"/>
      <c r="I801" s="8"/>
      <c r="J801" s="8"/>
    </row>
    <row r="802">
      <c r="A802" s="8"/>
      <c r="B802" s="8" t="str">
        <f>IF(ISBLANK(A802),"",VLOOKUP(A802,DOI_URL!$B$1:$C$74,2,FALSE()))</f>
        <v/>
      </c>
      <c r="C802" s="8"/>
      <c r="D802" s="8"/>
      <c r="I802" s="8"/>
      <c r="J802" s="8"/>
    </row>
    <row r="803">
      <c r="A803" s="8"/>
      <c r="B803" s="8" t="str">
        <f>IF(ISBLANK(A803),"",VLOOKUP(A803,DOI_URL!$B$1:$C$74,2,FALSE()))</f>
        <v/>
      </c>
      <c r="C803" s="8"/>
      <c r="D803" s="8"/>
      <c r="I803" s="8"/>
      <c r="J803" s="8"/>
    </row>
    <row r="804">
      <c r="A804" s="8"/>
      <c r="B804" s="8" t="str">
        <f>IF(ISBLANK(A804),"",VLOOKUP(A804,DOI_URL!$B$1:$C$74,2,FALSE()))</f>
        <v/>
      </c>
      <c r="C804" s="8"/>
      <c r="D804" s="8"/>
      <c r="I804" s="8"/>
      <c r="J804" s="8"/>
    </row>
    <row r="805">
      <c r="A805" s="8"/>
      <c r="B805" s="8" t="str">
        <f>IF(ISBLANK(A805),"",VLOOKUP(A805,DOI_URL!$B$1:$C$74,2,FALSE()))</f>
        <v/>
      </c>
      <c r="C805" s="8"/>
      <c r="D805" s="8"/>
      <c r="I805" s="8"/>
      <c r="J805" s="8"/>
    </row>
    <row r="806">
      <c r="A806" s="8"/>
      <c r="B806" s="8" t="str">
        <f>IF(ISBLANK(A806),"",VLOOKUP(A806,DOI_URL!$B$1:$C$74,2,FALSE()))</f>
        <v/>
      </c>
      <c r="C806" s="8"/>
      <c r="D806" s="8"/>
      <c r="I806" s="8"/>
      <c r="J806" s="8"/>
    </row>
    <row r="807">
      <c r="A807" s="8"/>
      <c r="B807" s="8" t="str">
        <f>IF(ISBLANK(A807),"",VLOOKUP(A807,DOI_URL!$B$1:$C$74,2,FALSE()))</f>
        <v/>
      </c>
      <c r="C807" s="8"/>
      <c r="D807" s="8"/>
      <c r="I807" s="8"/>
      <c r="J807" s="8"/>
    </row>
    <row r="808">
      <c r="A808" s="8"/>
      <c r="B808" s="8" t="str">
        <f>IF(ISBLANK(A808),"",VLOOKUP(A808,DOI_URL!$B$1:$C$74,2,FALSE()))</f>
        <v/>
      </c>
      <c r="C808" s="8"/>
      <c r="D808" s="8"/>
      <c r="I808" s="8"/>
      <c r="J808" s="8"/>
    </row>
    <row r="809">
      <c r="A809" s="8"/>
      <c r="B809" s="8" t="str">
        <f>IF(ISBLANK(A809),"",VLOOKUP(A809,DOI_URL!$B$1:$C$74,2,FALSE()))</f>
        <v/>
      </c>
      <c r="C809" s="8"/>
      <c r="D809" s="8"/>
      <c r="I809" s="8"/>
      <c r="J809" s="8"/>
    </row>
    <row r="810">
      <c r="A810" s="8"/>
      <c r="B810" s="8" t="str">
        <f>IF(ISBLANK(A810),"",VLOOKUP(A810,DOI_URL!$B$1:$C$74,2,FALSE()))</f>
        <v/>
      </c>
      <c r="C810" s="8"/>
      <c r="D810" s="8"/>
      <c r="I810" s="8"/>
      <c r="J810" s="8"/>
    </row>
    <row r="811">
      <c r="A811" s="8"/>
      <c r="B811" s="8" t="str">
        <f>IF(ISBLANK(A811),"",VLOOKUP(A811,DOI_URL!$B$1:$C$74,2,FALSE()))</f>
        <v/>
      </c>
      <c r="C811" s="8"/>
      <c r="D811" s="8"/>
      <c r="I811" s="8"/>
      <c r="J811" s="8"/>
    </row>
    <row r="812">
      <c r="A812" s="8"/>
      <c r="B812" s="8" t="str">
        <f>IF(ISBLANK(A812),"",VLOOKUP(A812,DOI_URL!$B$1:$C$74,2,FALSE()))</f>
        <v/>
      </c>
      <c r="C812" s="8"/>
      <c r="D812" s="8"/>
      <c r="I812" s="8"/>
      <c r="J812" s="8"/>
    </row>
    <row r="813">
      <c r="A813" s="8"/>
      <c r="B813" s="8" t="str">
        <f>IF(ISBLANK(A813),"",VLOOKUP(A813,DOI_URL!$B$1:$C$74,2,FALSE()))</f>
        <v/>
      </c>
      <c r="C813" s="8"/>
      <c r="D813" s="8"/>
      <c r="I813" s="8"/>
      <c r="J813" s="8"/>
    </row>
    <row r="814">
      <c r="A814" s="8"/>
      <c r="B814" s="8" t="str">
        <f>IF(ISBLANK(A814),"",VLOOKUP(A814,DOI_URL!$B$1:$C$74,2,FALSE()))</f>
        <v/>
      </c>
      <c r="C814" s="8"/>
      <c r="D814" s="8"/>
      <c r="I814" s="8"/>
      <c r="J814" s="8"/>
    </row>
    <row r="815">
      <c r="A815" s="8"/>
      <c r="B815" s="8" t="str">
        <f>IF(ISBLANK(A815),"",VLOOKUP(A815,DOI_URL!$B$1:$C$74,2,FALSE()))</f>
        <v/>
      </c>
      <c r="C815" s="8"/>
      <c r="D815" s="8"/>
      <c r="I815" s="8"/>
      <c r="J815" s="8"/>
    </row>
    <row r="816">
      <c r="A816" s="8"/>
      <c r="B816" s="8" t="str">
        <f>IF(ISBLANK(A816),"",VLOOKUP(A816,DOI_URL!$B$1:$C$74,2,FALSE()))</f>
        <v/>
      </c>
      <c r="C816" s="8"/>
      <c r="D816" s="8"/>
      <c r="I816" s="8"/>
      <c r="J816" s="8"/>
    </row>
    <row r="817">
      <c r="A817" s="8"/>
      <c r="B817" s="8" t="str">
        <f>IF(ISBLANK(A817),"",VLOOKUP(A817,DOI_URL!$B$1:$C$74,2,FALSE()))</f>
        <v/>
      </c>
      <c r="C817" s="8"/>
      <c r="D817" s="8"/>
      <c r="I817" s="8"/>
      <c r="J817" s="8"/>
    </row>
    <row r="818">
      <c r="A818" s="8"/>
      <c r="B818" s="8" t="str">
        <f>IF(ISBLANK(A818),"",VLOOKUP(A818,DOI_URL!$B$1:$C$74,2,FALSE()))</f>
        <v/>
      </c>
      <c r="C818" s="8"/>
      <c r="D818" s="8"/>
      <c r="I818" s="8"/>
      <c r="J818" s="8"/>
    </row>
    <row r="819">
      <c r="A819" s="8"/>
      <c r="B819" s="8" t="str">
        <f>IF(ISBLANK(A819),"",VLOOKUP(A819,DOI_URL!$B$1:$C$74,2,FALSE()))</f>
        <v/>
      </c>
      <c r="C819" s="8"/>
      <c r="D819" s="8"/>
      <c r="I819" s="8"/>
      <c r="J819" s="8"/>
    </row>
    <row r="820">
      <c r="A820" s="8"/>
      <c r="B820" s="8" t="str">
        <f>IF(ISBLANK(A820),"",VLOOKUP(A820,DOI_URL!$B$1:$C$74,2,FALSE()))</f>
        <v/>
      </c>
      <c r="C820" s="8"/>
      <c r="D820" s="8"/>
      <c r="I820" s="8"/>
      <c r="J820" s="8"/>
    </row>
    <row r="821">
      <c r="A821" s="8"/>
      <c r="B821" s="8" t="str">
        <f>IF(ISBLANK(A821),"",VLOOKUP(A821,DOI_URL!$B$1:$C$74,2,FALSE()))</f>
        <v/>
      </c>
      <c r="C821" s="8"/>
      <c r="D821" s="8"/>
      <c r="I821" s="8"/>
      <c r="J821" s="8"/>
    </row>
    <row r="822">
      <c r="A822" s="8"/>
      <c r="B822" s="8" t="str">
        <f>IF(ISBLANK(A822),"",VLOOKUP(A822,DOI_URL!$B$1:$C$74,2,FALSE()))</f>
        <v/>
      </c>
      <c r="C822" s="8"/>
      <c r="D822" s="8"/>
      <c r="I822" s="8"/>
      <c r="J822" s="8"/>
    </row>
    <row r="823">
      <c r="A823" s="8"/>
      <c r="B823" s="8" t="str">
        <f>IF(ISBLANK(A823),"",VLOOKUP(A823,DOI_URL!$B$1:$C$74,2,FALSE()))</f>
        <v/>
      </c>
      <c r="C823" s="8"/>
      <c r="D823" s="8"/>
      <c r="I823" s="8"/>
      <c r="J823" s="8"/>
    </row>
    <row r="824">
      <c r="A824" s="8"/>
      <c r="B824" s="8" t="str">
        <f>IF(ISBLANK(A824),"",VLOOKUP(A824,DOI_URL!$B$1:$C$74,2,FALSE()))</f>
        <v/>
      </c>
      <c r="C824" s="8"/>
      <c r="D824" s="8"/>
      <c r="I824" s="8"/>
      <c r="J824" s="8"/>
    </row>
    <row r="825">
      <c r="A825" s="8"/>
      <c r="B825" s="8" t="str">
        <f>IF(ISBLANK(A825),"",VLOOKUP(A825,DOI_URL!$B$1:$C$74,2,FALSE()))</f>
        <v/>
      </c>
      <c r="C825" s="8"/>
      <c r="D825" s="8"/>
      <c r="I825" s="8"/>
      <c r="J825" s="8"/>
    </row>
    <row r="826">
      <c r="A826" s="8"/>
      <c r="B826" s="8" t="str">
        <f>IF(ISBLANK(A826),"",VLOOKUP(A826,DOI_URL!$B$1:$C$74,2,FALSE()))</f>
        <v/>
      </c>
      <c r="C826" s="8"/>
      <c r="D826" s="8"/>
      <c r="I826" s="8"/>
      <c r="J826" s="8"/>
    </row>
    <row r="827">
      <c r="A827" s="8"/>
      <c r="B827" s="8" t="str">
        <f>IF(ISBLANK(A827),"",VLOOKUP(A827,DOI_URL!$B$1:$C$74,2,FALSE()))</f>
        <v/>
      </c>
      <c r="C827" s="8"/>
      <c r="D827" s="8"/>
      <c r="I827" s="8"/>
      <c r="J827" s="8"/>
    </row>
    <row r="828">
      <c r="A828" s="8"/>
      <c r="B828" s="8" t="str">
        <f>IF(ISBLANK(A828),"",VLOOKUP(A828,DOI_URL!$B$1:$C$74,2,FALSE()))</f>
        <v/>
      </c>
      <c r="C828" s="8"/>
      <c r="D828" s="8"/>
      <c r="I828" s="8"/>
      <c r="J828" s="8"/>
    </row>
    <row r="829">
      <c r="A829" s="8"/>
      <c r="B829" s="8" t="str">
        <f>IF(ISBLANK(A829),"",VLOOKUP(A829,DOI_URL!$B$1:$C$74,2,FALSE()))</f>
        <v/>
      </c>
      <c r="C829" s="8"/>
      <c r="D829" s="8"/>
      <c r="I829" s="8"/>
      <c r="J829" s="8"/>
    </row>
    <row r="830">
      <c r="A830" s="8"/>
      <c r="B830" s="8" t="str">
        <f>IF(ISBLANK(A830),"",VLOOKUP(A830,DOI_URL!$B$1:$C$74,2,FALSE()))</f>
        <v/>
      </c>
      <c r="C830" s="8"/>
      <c r="D830" s="8"/>
      <c r="I830" s="8"/>
      <c r="J830" s="8"/>
    </row>
    <row r="831">
      <c r="A831" s="8"/>
      <c r="B831" s="8" t="str">
        <f>IF(ISBLANK(A831),"",VLOOKUP(A831,DOI_URL!$B$1:$C$74,2,FALSE()))</f>
        <v/>
      </c>
      <c r="C831" s="8"/>
      <c r="D831" s="8"/>
      <c r="I831" s="8"/>
      <c r="J831" s="8"/>
    </row>
    <row r="832">
      <c r="A832" s="8"/>
      <c r="B832" s="8" t="str">
        <f>IF(ISBLANK(A832),"",VLOOKUP(A832,DOI_URL!$B$1:$C$74,2,FALSE()))</f>
        <v/>
      </c>
      <c r="C832" s="8"/>
      <c r="D832" s="8"/>
      <c r="I832" s="8"/>
      <c r="J832" s="8"/>
    </row>
    <row r="833">
      <c r="A833" s="8"/>
      <c r="B833" s="8" t="str">
        <f>IF(ISBLANK(A833),"",VLOOKUP(A833,DOI_URL!$B$1:$C$74,2,FALSE()))</f>
        <v/>
      </c>
      <c r="C833" s="8"/>
      <c r="D833" s="8"/>
      <c r="I833" s="8"/>
      <c r="J833" s="8"/>
    </row>
    <row r="834">
      <c r="A834" s="8"/>
      <c r="B834" s="8" t="str">
        <f>IF(ISBLANK(A834),"",VLOOKUP(A834,DOI_URL!$B$1:$C$74,2,FALSE()))</f>
        <v/>
      </c>
      <c r="C834" s="8"/>
      <c r="D834" s="8"/>
      <c r="I834" s="8"/>
      <c r="J834" s="8"/>
    </row>
    <row r="835">
      <c r="A835" s="8"/>
      <c r="B835" s="8" t="str">
        <f>IF(ISBLANK(A835),"",VLOOKUP(A835,DOI_URL!$B$1:$C$74,2,FALSE()))</f>
        <v/>
      </c>
      <c r="C835" s="8"/>
      <c r="D835" s="8"/>
      <c r="I835" s="8"/>
      <c r="J835" s="8"/>
    </row>
    <row r="836">
      <c r="A836" s="8"/>
      <c r="B836" s="8" t="str">
        <f>IF(ISBLANK(A836),"",VLOOKUP(A836,DOI_URL!$B$1:$C$74,2,FALSE()))</f>
        <v/>
      </c>
      <c r="C836" s="8"/>
      <c r="D836" s="8"/>
      <c r="I836" s="8"/>
      <c r="J836" s="8"/>
    </row>
    <row r="837">
      <c r="A837" s="8"/>
      <c r="B837" s="8" t="str">
        <f>IF(ISBLANK(A837),"",VLOOKUP(A837,DOI_URL!$B$1:$C$74,2,FALSE()))</f>
        <v/>
      </c>
      <c r="C837" s="8"/>
      <c r="D837" s="8"/>
      <c r="I837" s="8"/>
      <c r="J837" s="8"/>
    </row>
    <row r="838">
      <c r="A838" s="8"/>
      <c r="B838" s="8" t="str">
        <f>IF(ISBLANK(A838),"",VLOOKUP(A838,DOI_URL!$B$1:$C$74,2,FALSE()))</f>
        <v/>
      </c>
      <c r="C838" s="8"/>
      <c r="D838" s="8"/>
      <c r="I838" s="8"/>
      <c r="J838" s="8"/>
    </row>
    <row r="839">
      <c r="A839" s="8"/>
      <c r="B839" s="8" t="str">
        <f>IF(ISBLANK(A839),"",VLOOKUP(A839,DOI_URL!$B$1:$C$74,2,FALSE()))</f>
        <v/>
      </c>
      <c r="C839" s="8"/>
      <c r="D839" s="8"/>
      <c r="I839" s="8"/>
      <c r="J839" s="8"/>
    </row>
    <row r="840">
      <c r="A840" s="8"/>
      <c r="B840" s="8" t="str">
        <f>IF(ISBLANK(A840),"",VLOOKUP(A840,DOI_URL!$B$1:$C$74,2,FALSE()))</f>
        <v/>
      </c>
      <c r="C840" s="8"/>
      <c r="D840" s="8"/>
      <c r="I840" s="8"/>
      <c r="J840" s="8"/>
    </row>
    <row r="841">
      <c r="A841" s="8"/>
      <c r="B841" s="8" t="str">
        <f>IF(ISBLANK(A841),"",VLOOKUP(A841,DOI_URL!$B$1:$C$74,2,FALSE()))</f>
        <v/>
      </c>
      <c r="C841" s="8"/>
      <c r="D841" s="8"/>
      <c r="I841" s="8"/>
      <c r="J841" s="8"/>
    </row>
    <row r="842">
      <c r="A842" s="8"/>
      <c r="B842" s="8" t="str">
        <f>IF(ISBLANK(A842),"",VLOOKUP(A842,DOI_URL!$B$1:$C$74,2,FALSE()))</f>
        <v/>
      </c>
      <c r="C842" s="8"/>
      <c r="D842" s="8"/>
      <c r="I842" s="8"/>
      <c r="J842" s="8"/>
    </row>
    <row r="843">
      <c r="A843" s="8"/>
      <c r="B843" s="8" t="str">
        <f>IF(ISBLANK(A843),"",VLOOKUP(A843,DOI_URL!$B$1:$C$74,2,FALSE()))</f>
        <v/>
      </c>
      <c r="C843" s="8"/>
      <c r="D843" s="8"/>
      <c r="I843" s="8"/>
      <c r="J843" s="8"/>
    </row>
    <row r="844">
      <c r="A844" s="8"/>
      <c r="B844" s="8" t="str">
        <f>IF(ISBLANK(A844),"",VLOOKUP(A844,DOI_URL!$B$1:$C$74,2,FALSE()))</f>
        <v/>
      </c>
      <c r="C844" s="8"/>
      <c r="D844" s="8"/>
      <c r="I844" s="8"/>
      <c r="J844" s="8"/>
    </row>
    <row r="845">
      <c r="A845" s="8"/>
      <c r="B845" s="8" t="str">
        <f>IF(ISBLANK(A845),"",VLOOKUP(A845,DOI_URL!$B$1:$C$74,2,FALSE()))</f>
        <v/>
      </c>
      <c r="C845" s="8"/>
      <c r="D845" s="8"/>
      <c r="I845" s="8"/>
      <c r="J845" s="8"/>
    </row>
    <row r="846">
      <c r="A846" s="8"/>
      <c r="B846" s="8" t="str">
        <f>IF(ISBLANK(A846),"",VLOOKUP(A846,DOI_URL!$B$1:$C$74,2,FALSE()))</f>
        <v/>
      </c>
      <c r="C846" s="8"/>
      <c r="D846" s="8"/>
      <c r="I846" s="8"/>
      <c r="J846" s="8"/>
    </row>
    <row r="847">
      <c r="A847" s="8"/>
      <c r="B847" s="8" t="str">
        <f>IF(ISBLANK(A847),"",VLOOKUP(A847,DOI_URL!$B$1:$C$74,2,FALSE()))</f>
        <v/>
      </c>
      <c r="C847" s="8"/>
      <c r="D847" s="8"/>
      <c r="I847" s="8"/>
      <c r="J847" s="8"/>
    </row>
    <row r="848">
      <c r="A848" s="8"/>
      <c r="B848" s="8" t="str">
        <f>IF(ISBLANK(A848),"",VLOOKUP(A848,DOI_URL!$B$1:$C$74,2,FALSE()))</f>
        <v/>
      </c>
      <c r="C848" s="8"/>
      <c r="D848" s="8"/>
      <c r="I848" s="8"/>
      <c r="J848" s="8"/>
    </row>
    <row r="849">
      <c r="A849" s="8"/>
      <c r="B849" s="8" t="str">
        <f>IF(ISBLANK(A849),"",VLOOKUP(A849,DOI_URL!$B$1:$C$74,2,FALSE()))</f>
        <v/>
      </c>
      <c r="C849" s="8"/>
      <c r="D849" s="8"/>
      <c r="I849" s="8"/>
      <c r="J849" s="8"/>
    </row>
    <row r="850">
      <c r="A850" s="8"/>
      <c r="B850" s="8" t="str">
        <f>IF(ISBLANK(A850),"",VLOOKUP(A850,DOI_URL!$B$1:$C$74,2,FALSE()))</f>
        <v/>
      </c>
      <c r="C850" s="8"/>
      <c r="D850" s="8"/>
      <c r="I850" s="8"/>
      <c r="J850" s="8"/>
    </row>
    <row r="851">
      <c r="A851" s="8"/>
      <c r="B851" s="8" t="str">
        <f>IF(ISBLANK(A851),"",VLOOKUP(A851,DOI_URL!$B$1:$C$74,2,FALSE()))</f>
        <v/>
      </c>
      <c r="C851" s="8"/>
      <c r="D851" s="8"/>
      <c r="I851" s="8"/>
      <c r="J851" s="8"/>
    </row>
    <row r="852">
      <c r="A852" s="8"/>
      <c r="B852" s="8" t="str">
        <f>IF(ISBLANK(A852),"",VLOOKUP(A852,DOI_URL!$B$1:$C$74,2,FALSE()))</f>
        <v/>
      </c>
      <c r="C852" s="8"/>
      <c r="D852" s="8"/>
      <c r="I852" s="8"/>
      <c r="J852" s="8"/>
    </row>
    <row r="853">
      <c r="A853" s="8"/>
      <c r="B853" s="8" t="str">
        <f>IF(ISBLANK(A853),"",VLOOKUP(A853,DOI_URL!$B$1:$C$74,2,FALSE()))</f>
        <v/>
      </c>
      <c r="C853" s="8"/>
      <c r="D853" s="8"/>
      <c r="I853" s="8"/>
      <c r="J853" s="8"/>
    </row>
    <row r="854">
      <c r="A854" s="8"/>
      <c r="B854" s="8" t="str">
        <f>IF(ISBLANK(A854),"",VLOOKUP(A854,DOI_URL!$B$1:$C$74,2,FALSE()))</f>
        <v/>
      </c>
      <c r="C854" s="8"/>
      <c r="D854" s="8"/>
      <c r="I854" s="8"/>
      <c r="J854" s="8"/>
    </row>
    <row r="855">
      <c r="A855" s="8"/>
      <c r="B855" s="8" t="str">
        <f>IF(ISBLANK(A855),"",VLOOKUP(A855,DOI_URL!$B$1:$C$74,2,FALSE()))</f>
        <v/>
      </c>
      <c r="C855" s="8"/>
      <c r="D855" s="8"/>
      <c r="I855" s="8"/>
      <c r="J855" s="8"/>
    </row>
    <row r="856">
      <c r="A856" s="8"/>
      <c r="B856" s="8" t="str">
        <f>IF(ISBLANK(A856),"",VLOOKUP(A856,DOI_URL!$B$1:$C$74,2,FALSE()))</f>
        <v/>
      </c>
      <c r="C856" s="8"/>
      <c r="D856" s="8"/>
      <c r="I856" s="8"/>
      <c r="J856" s="8"/>
    </row>
    <row r="857">
      <c r="A857" s="8"/>
      <c r="B857" s="8" t="str">
        <f>IF(ISBLANK(A857),"",VLOOKUP(A857,DOI_URL!$B$1:$C$74,2,FALSE()))</f>
        <v/>
      </c>
      <c r="C857" s="8"/>
      <c r="D857" s="8"/>
      <c r="I857" s="8"/>
      <c r="J857" s="8"/>
    </row>
    <row r="858">
      <c r="A858" s="8"/>
      <c r="B858" s="8" t="str">
        <f>IF(ISBLANK(A858),"",VLOOKUP(A858,DOI_URL!$B$1:$C$74,2,FALSE()))</f>
        <v/>
      </c>
      <c r="C858" s="8"/>
      <c r="D858" s="8"/>
      <c r="I858" s="8"/>
      <c r="J858" s="8"/>
    </row>
    <row r="859">
      <c r="A859" s="8"/>
      <c r="B859" s="8" t="str">
        <f>IF(ISBLANK(A859),"",VLOOKUP(A859,DOI_URL!$B$1:$C$74,2,FALSE()))</f>
        <v/>
      </c>
      <c r="C859" s="8"/>
      <c r="D859" s="8"/>
      <c r="I859" s="8"/>
      <c r="J859" s="8"/>
    </row>
    <row r="860">
      <c r="A860" s="8"/>
      <c r="B860" s="8" t="str">
        <f>IF(ISBLANK(A860),"",VLOOKUP(A860,DOI_URL!$B$1:$C$74,2,FALSE()))</f>
        <v/>
      </c>
      <c r="C860" s="8"/>
      <c r="D860" s="8"/>
      <c r="I860" s="8"/>
      <c r="J860" s="8"/>
    </row>
    <row r="861">
      <c r="A861" s="8"/>
      <c r="B861" s="8" t="str">
        <f>IF(ISBLANK(A861),"",VLOOKUP(A861,DOI_URL!$B$1:$C$74,2,FALSE()))</f>
        <v/>
      </c>
      <c r="C861" s="8"/>
      <c r="D861" s="8"/>
      <c r="I861" s="8"/>
      <c r="J861" s="8"/>
    </row>
    <row r="862">
      <c r="A862" s="8"/>
      <c r="B862" s="8" t="str">
        <f>IF(ISBLANK(A862),"",VLOOKUP(A862,DOI_URL!$B$1:$C$74,2,FALSE()))</f>
        <v/>
      </c>
      <c r="C862" s="8"/>
      <c r="D862" s="8"/>
      <c r="I862" s="8"/>
      <c r="J862" s="8"/>
    </row>
    <row r="863">
      <c r="A863" s="8"/>
      <c r="B863" s="8" t="str">
        <f>IF(ISBLANK(A863),"",VLOOKUP(A863,DOI_URL!$B$1:$C$74,2,FALSE()))</f>
        <v/>
      </c>
      <c r="C863" s="8"/>
      <c r="D863" s="8"/>
      <c r="I863" s="8"/>
      <c r="J863" s="8"/>
    </row>
    <row r="864">
      <c r="A864" s="8"/>
      <c r="B864" s="8" t="str">
        <f>IF(ISBLANK(A864),"",VLOOKUP(A864,DOI_URL!$B$1:$C$74,2,FALSE()))</f>
        <v/>
      </c>
      <c r="C864" s="8"/>
      <c r="D864" s="8"/>
      <c r="I864" s="8"/>
      <c r="J864" s="8"/>
    </row>
    <row r="865">
      <c r="A865" s="8"/>
      <c r="B865" s="8" t="str">
        <f>IF(ISBLANK(A865),"",VLOOKUP(A865,DOI_URL!$B$1:$C$74,2,FALSE()))</f>
        <v/>
      </c>
      <c r="C865" s="8"/>
      <c r="D865" s="8"/>
      <c r="I865" s="8"/>
      <c r="J865" s="8"/>
    </row>
    <row r="866">
      <c r="A866" s="8"/>
      <c r="B866" s="8" t="str">
        <f>IF(ISBLANK(A866),"",VLOOKUP(A866,DOI_URL!$B$1:$C$74,2,FALSE()))</f>
        <v/>
      </c>
      <c r="C866" s="8"/>
      <c r="D866" s="8"/>
      <c r="I866" s="8"/>
      <c r="J866" s="8"/>
    </row>
    <row r="867">
      <c r="A867" s="8"/>
      <c r="B867" s="8" t="str">
        <f>IF(ISBLANK(A867),"",VLOOKUP(A867,DOI_URL!$B$1:$C$74,2,FALSE()))</f>
        <v/>
      </c>
      <c r="C867" s="8"/>
      <c r="D867" s="8"/>
      <c r="I867" s="8"/>
      <c r="J867" s="8"/>
    </row>
    <row r="868">
      <c r="A868" s="8"/>
      <c r="B868" s="8" t="str">
        <f>IF(ISBLANK(A868),"",VLOOKUP(A868,DOI_URL!$B$1:$C$74,2,FALSE()))</f>
        <v/>
      </c>
      <c r="C868" s="8"/>
      <c r="D868" s="8"/>
      <c r="I868" s="8"/>
      <c r="J868" s="8"/>
    </row>
    <row r="869">
      <c r="A869" s="8"/>
      <c r="B869" s="8" t="str">
        <f>IF(ISBLANK(A869),"",VLOOKUP(A869,DOI_URL!$B$1:$C$74,2,FALSE()))</f>
        <v/>
      </c>
      <c r="C869" s="8"/>
      <c r="D869" s="8"/>
      <c r="I869" s="8"/>
      <c r="J869" s="8"/>
    </row>
    <row r="870">
      <c r="A870" s="8"/>
      <c r="B870" s="8" t="str">
        <f>IF(ISBLANK(A870),"",VLOOKUP(A870,DOI_URL!$B$1:$C$74,2,FALSE()))</f>
        <v/>
      </c>
      <c r="C870" s="8"/>
      <c r="D870" s="8"/>
      <c r="I870" s="8"/>
      <c r="J870" s="8"/>
    </row>
    <row r="871">
      <c r="A871" s="8"/>
      <c r="B871" s="8" t="str">
        <f>IF(ISBLANK(A871),"",VLOOKUP(A871,DOI_URL!$B$1:$C$74,2,FALSE()))</f>
        <v/>
      </c>
      <c r="C871" s="8"/>
      <c r="D871" s="8"/>
      <c r="I871" s="8"/>
      <c r="J871" s="8"/>
    </row>
    <row r="872">
      <c r="A872" s="8"/>
      <c r="B872" s="8" t="str">
        <f>IF(ISBLANK(A872),"",VLOOKUP(A872,DOI_URL!$B$1:$C$74,2,FALSE()))</f>
        <v/>
      </c>
      <c r="C872" s="8"/>
      <c r="D872" s="8"/>
      <c r="I872" s="8"/>
      <c r="J872" s="8"/>
    </row>
    <row r="873">
      <c r="A873" s="8"/>
      <c r="B873" s="8" t="str">
        <f>IF(ISBLANK(A873),"",VLOOKUP(A873,DOI_URL!$B$1:$C$74,2,FALSE()))</f>
        <v/>
      </c>
      <c r="C873" s="8"/>
      <c r="D873" s="8"/>
      <c r="I873" s="8"/>
      <c r="J873" s="8"/>
    </row>
    <row r="874">
      <c r="A874" s="8"/>
      <c r="B874" s="8" t="str">
        <f>IF(ISBLANK(A874),"",VLOOKUP(A874,DOI_URL!$B$1:$C$74,2,FALSE()))</f>
        <v/>
      </c>
      <c r="C874" s="8"/>
      <c r="D874" s="8"/>
      <c r="I874" s="8"/>
      <c r="J874" s="8"/>
    </row>
    <row r="875">
      <c r="A875" s="8"/>
      <c r="B875" s="8" t="str">
        <f>IF(ISBLANK(A875),"",VLOOKUP(A875,DOI_URL!$B$1:$C$74,2,FALSE()))</f>
        <v/>
      </c>
      <c r="C875" s="8"/>
      <c r="D875" s="8"/>
      <c r="I875" s="8"/>
      <c r="J875" s="8"/>
    </row>
    <row r="876">
      <c r="A876" s="8"/>
      <c r="B876" s="8" t="str">
        <f>IF(ISBLANK(A876),"",VLOOKUP(A876,DOI_URL!$B$1:$C$74,2,FALSE()))</f>
        <v/>
      </c>
      <c r="C876" s="8"/>
      <c r="D876" s="8"/>
      <c r="I876" s="8"/>
      <c r="J876" s="8"/>
    </row>
    <row r="877">
      <c r="A877" s="8"/>
      <c r="B877" s="8" t="str">
        <f>IF(ISBLANK(A877),"",VLOOKUP(A877,DOI_URL!$B$1:$C$74,2,FALSE()))</f>
        <v/>
      </c>
      <c r="C877" s="8"/>
      <c r="D877" s="8"/>
      <c r="I877" s="8"/>
      <c r="J877" s="8"/>
    </row>
    <row r="878">
      <c r="A878" s="8"/>
      <c r="B878" s="8" t="str">
        <f>IF(ISBLANK(A878),"",VLOOKUP(A878,DOI_URL!$B$1:$C$74,2,FALSE()))</f>
        <v/>
      </c>
      <c r="C878" s="8"/>
      <c r="D878" s="8"/>
      <c r="I878" s="8"/>
      <c r="J878" s="8"/>
    </row>
    <row r="879">
      <c r="A879" s="8"/>
      <c r="B879" s="8" t="str">
        <f>IF(ISBLANK(A879),"",VLOOKUP(A879,DOI_URL!$B$1:$C$74,2,FALSE()))</f>
        <v/>
      </c>
      <c r="C879" s="8"/>
      <c r="D879" s="8"/>
      <c r="I879" s="8"/>
      <c r="J879" s="8"/>
    </row>
    <row r="880">
      <c r="A880" s="8"/>
      <c r="B880" s="8" t="str">
        <f>IF(ISBLANK(A880),"",VLOOKUP(A880,DOI_URL!$B$1:$C$74,2,FALSE()))</f>
        <v/>
      </c>
      <c r="C880" s="8"/>
      <c r="D880" s="8"/>
      <c r="I880" s="8"/>
      <c r="J880" s="8"/>
    </row>
    <row r="881">
      <c r="A881" s="8"/>
      <c r="B881" s="8" t="str">
        <f>IF(ISBLANK(A881),"",VLOOKUP(A881,DOI_URL!$B$1:$C$74,2,FALSE()))</f>
        <v/>
      </c>
      <c r="C881" s="8"/>
      <c r="D881" s="8"/>
      <c r="I881" s="8"/>
      <c r="J881" s="8"/>
    </row>
    <row r="882">
      <c r="A882" s="8"/>
      <c r="B882" s="8" t="str">
        <f>IF(ISBLANK(A882),"",VLOOKUP(A882,DOI_URL!$B$1:$C$74,2,FALSE()))</f>
        <v/>
      </c>
      <c r="C882" s="8"/>
      <c r="D882" s="8"/>
      <c r="I882" s="8"/>
      <c r="J882" s="8"/>
    </row>
    <row r="883">
      <c r="A883" s="8"/>
      <c r="B883" s="8" t="str">
        <f>IF(ISBLANK(A883),"",VLOOKUP(A883,DOI_URL!$B$1:$C$74,2,FALSE()))</f>
        <v/>
      </c>
      <c r="C883" s="8"/>
      <c r="D883" s="8"/>
      <c r="I883" s="8"/>
      <c r="J883" s="8"/>
    </row>
    <row r="884">
      <c r="A884" s="8"/>
      <c r="B884" s="8" t="str">
        <f>IF(ISBLANK(A884),"",VLOOKUP(A884,DOI_URL!$B$1:$C$74,2,FALSE()))</f>
        <v/>
      </c>
      <c r="C884" s="8"/>
      <c r="D884" s="8"/>
      <c r="I884" s="8"/>
      <c r="J884" s="8"/>
    </row>
    <row r="885">
      <c r="A885" s="8"/>
      <c r="B885" s="8" t="str">
        <f>IF(ISBLANK(A885),"",VLOOKUP(A885,DOI_URL!$B$1:$C$74,2,FALSE()))</f>
        <v/>
      </c>
      <c r="C885" s="8"/>
      <c r="D885" s="8"/>
      <c r="I885" s="8"/>
      <c r="J885" s="8"/>
    </row>
    <row r="886">
      <c r="A886" s="8"/>
      <c r="B886" s="8" t="str">
        <f>IF(ISBLANK(A886),"",VLOOKUP(A886,DOI_URL!$B$1:$C$74,2,FALSE()))</f>
        <v/>
      </c>
      <c r="C886" s="8"/>
      <c r="D886" s="8"/>
      <c r="I886" s="8"/>
      <c r="J886" s="8"/>
    </row>
    <row r="887">
      <c r="A887" s="8"/>
      <c r="B887" s="8" t="str">
        <f>IF(ISBLANK(A887),"",VLOOKUP(A887,DOI_URL!$B$1:$C$74,2,FALSE()))</f>
        <v/>
      </c>
      <c r="C887" s="8"/>
      <c r="D887" s="8"/>
      <c r="I887" s="8"/>
      <c r="J887" s="8"/>
    </row>
    <row r="888">
      <c r="A888" s="8"/>
      <c r="B888" s="8" t="str">
        <f>IF(ISBLANK(A888),"",VLOOKUP(A888,DOI_URL!$B$1:$C$74,2,FALSE()))</f>
        <v/>
      </c>
      <c r="C888" s="8"/>
      <c r="D888" s="8"/>
      <c r="I888" s="8"/>
      <c r="J888" s="8"/>
    </row>
    <row r="889">
      <c r="A889" s="8"/>
      <c r="B889" s="8" t="str">
        <f>IF(ISBLANK(A889),"",VLOOKUP(A889,DOI_URL!$B$1:$C$74,2,FALSE()))</f>
        <v/>
      </c>
      <c r="C889" s="8"/>
      <c r="D889" s="8"/>
      <c r="I889" s="8"/>
      <c r="J889" s="8"/>
    </row>
    <row r="890">
      <c r="A890" s="8"/>
      <c r="B890" s="8" t="str">
        <f>IF(ISBLANK(A890),"",VLOOKUP(A890,DOI_URL!$B$1:$C$74,2,FALSE()))</f>
        <v/>
      </c>
      <c r="C890" s="8"/>
      <c r="D890" s="8"/>
      <c r="I890" s="8"/>
      <c r="J890" s="8"/>
    </row>
    <row r="891">
      <c r="A891" s="8"/>
      <c r="B891" s="8" t="str">
        <f>IF(ISBLANK(A891),"",VLOOKUP(A891,DOI_URL!$B$1:$C$74,2,FALSE()))</f>
        <v/>
      </c>
      <c r="C891" s="8"/>
      <c r="D891" s="8"/>
      <c r="I891" s="8"/>
      <c r="J891" s="8"/>
    </row>
    <row r="892">
      <c r="A892" s="8"/>
      <c r="B892" s="8" t="str">
        <f>IF(ISBLANK(A892),"",VLOOKUP(A892,DOI_URL!$B$1:$C$74,2,FALSE()))</f>
        <v/>
      </c>
      <c r="C892" s="8"/>
      <c r="D892" s="8"/>
      <c r="I892" s="8"/>
      <c r="J892" s="8"/>
    </row>
    <row r="893">
      <c r="A893" s="8"/>
      <c r="B893" s="8" t="str">
        <f>IF(ISBLANK(A893),"",VLOOKUP(A893,DOI_URL!$B$1:$C$74,2,FALSE()))</f>
        <v/>
      </c>
      <c r="C893" s="8"/>
      <c r="D893" s="8"/>
      <c r="I893" s="8"/>
      <c r="J893" s="8"/>
    </row>
    <row r="894">
      <c r="A894" s="8"/>
      <c r="B894" s="8" t="str">
        <f>IF(ISBLANK(A894),"",VLOOKUP(A894,DOI_URL!$B$1:$C$74,2,FALSE()))</f>
        <v/>
      </c>
      <c r="C894" s="8"/>
      <c r="D894" s="8"/>
      <c r="I894" s="8"/>
      <c r="J894" s="8"/>
    </row>
    <row r="895">
      <c r="A895" s="8"/>
      <c r="B895" s="8" t="str">
        <f>IF(ISBLANK(A895),"",VLOOKUP(A895,DOI_URL!$B$1:$C$74,2,FALSE()))</f>
        <v/>
      </c>
      <c r="C895" s="8"/>
      <c r="D895" s="8"/>
      <c r="I895" s="8"/>
      <c r="J895" s="8"/>
    </row>
    <row r="896">
      <c r="A896" s="8"/>
      <c r="B896" s="8" t="str">
        <f>IF(ISBLANK(A896),"",VLOOKUP(A896,DOI_URL!$B$1:$C$74,2,FALSE()))</f>
        <v/>
      </c>
      <c r="C896" s="8"/>
      <c r="D896" s="8"/>
      <c r="I896" s="8"/>
      <c r="J896" s="8"/>
    </row>
    <row r="897">
      <c r="A897" s="8"/>
      <c r="B897" s="8" t="str">
        <f>IF(ISBLANK(A897),"",VLOOKUP(A897,DOI_URL!$B$1:$C$74,2,FALSE()))</f>
        <v/>
      </c>
      <c r="C897" s="8"/>
      <c r="D897" s="8"/>
      <c r="I897" s="8"/>
      <c r="J897" s="8"/>
    </row>
    <row r="898">
      <c r="A898" s="8"/>
      <c r="B898" s="8" t="str">
        <f>IF(ISBLANK(A898),"",VLOOKUP(A898,DOI_URL!$B$1:$C$74,2,FALSE()))</f>
        <v/>
      </c>
      <c r="C898" s="8"/>
      <c r="D898" s="8"/>
      <c r="I898" s="8"/>
      <c r="J898" s="8"/>
    </row>
    <row r="899">
      <c r="A899" s="8"/>
      <c r="B899" s="8" t="str">
        <f>IF(ISBLANK(A899),"",VLOOKUP(A899,DOI_URL!$B$1:$C$74,2,FALSE()))</f>
        <v/>
      </c>
      <c r="C899" s="8"/>
      <c r="D899" s="8"/>
      <c r="I899" s="8"/>
      <c r="J899" s="8"/>
    </row>
    <row r="900">
      <c r="A900" s="8"/>
      <c r="B900" s="8" t="str">
        <f>IF(ISBLANK(A900),"",VLOOKUP(A900,DOI_URL!$B$1:$C$74,2,FALSE()))</f>
        <v/>
      </c>
      <c r="C900" s="8"/>
      <c r="D900" s="8"/>
      <c r="I900" s="8"/>
      <c r="J900" s="8"/>
    </row>
    <row r="901">
      <c r="A901" s="8"/>
      <c r="B901" s="8" t="str">
        <f>IF(ISBLANK(A901),"",VLOOKUP(A901,DOI_URL!$B$1:$C$74,2,FALSE()))</f>
        <v/>
      </c>
      <c r="C901" s="8"/>
      <c r="D901" s="8"/>
      <c r="I901" s="8"/>
      <c r="J901" s="8"/>
    </row>
    <row r="902">
      <c r="A902" s="8"/>
      <c r="B902" s="8" t="str">
        <f>IF(ISBLANK(A902),"",VLOOKUP(A902,DOI_URL!$B$1:$C$74,2,FALSE()))</f>
        <v/>
      </c>
      <c r="C902" s="8"/>
      <c r="D902" s="8"/>
      <c r="I902" s="8"/>
      <c r="J902" s="8"/>
    </row>
    <row r="903">
      <c r="A903" s="8"/>
      <c r="B903" s="8" t="str">
        <f>IF(ISBLANK(A903),"",VLOOKUP(A903,DOI_URL!$B$1:$C$74,2,FALSE()))</f>
        <v/>
      </c>
      <c r="C903" s="8"/>
      <c r="D903" s="8"/>
      <c r="I903" s="8"/>
      <c r="J903" s="8"/>
    </row>
    <row r="904">
      <c r="A904" s="8"/>
      <c r="B904" s="8" t="str">
        <f>IF(ISBLANK(A904),"",VLOOKUP(A904,DOI_URL!$B$1:$C$74,2,FALSE()))</f>
        <v/>
      </c>
      <c r="C904" s="8"/>
      <c r="D904" s="8"/>
      <c r="I904" s="8"/>
      <c r="J904" s="8"/>
    </row>
    <row r="905">
      <c r="A905" s="8"/>
      <c r="B905" s="8" t="str">
        <f>IF(ISBLANK(A905),"",VLOOKUP(A905,DOI_URL!$B$1:$C$74,2,FALSE()))</f>
        <v/>
      </c>
      <c r="C905" s="8"/>
      <c r="D905" s="8"/>
      <c r="I905" s="8"/>
      <c r="J905" s="8"/>
    </row>
    <row r="906">
      <c r="A906" s="8"/>
      <c r="B906" s="8" t="str">
        <f>IF(ISBLANK(A906),"",VLOOKUP(A906,DOI_URL!$B$1:$C$74,2,FALSE()))</f>
        <v/>
      </c>
      <c r="C906" s="8"/>
      <c r="D906" s="8"/>
      <c r="I906" s="8"/>
      <c r="J906" s="8"/>
    </row>
    <row r="907">
      <c r="A907" s="8"/>
      <c r="B907" s="8" t="str">
        <f>IF(ISBLANK(A907),"",VLOOKUP(A907,DOI_URL!$B$1:$C$74,2,FALSE()))</f>
        <v/>
      </c>
      <c r="C907" s="8"/>
      <c r="D907" s="8"/>
      <c r="I907" s="8"/>
      <c r="J907" s="8"/>
    </row>
    <row r="908">
      <c r="A908" s="8"/>
      <c r="B908" s="8" t="str">
        <f>IF(ISBLANK(A908),"",VLOOKUP(A908,DOI_URL!$B$1:$C$74,2,FALSE()))</f>
        <v/>
      </c>
      <c r="C908" s="8"/>
      <c r="D908" s="8"/>
      <c r="I908" s="8"/>
      <c r="J908" s="8"/>
    </row>
    <row r="909">
      <c r="A909" s="8"/>
      <c r="B909" s="8" t="str">
        <f>IF(ISBLANK(A909),"",VLOOKUP(A909,DOI_URL!$B$1:$C$74,2,FALSE()))</f>
        <v/>
      </c>
      <c r="C909" s="8"/>
      <c r="D909" s="8"/>
      <c r="I909" s="8"/>
      <c r="J909" s="8"/>
    </row>
    <row r="910">
      <c r="A910" s="8"/>
      <c r="B910" s="8" t="str">
        <f>IF(ISBLANK(A910),"",VLOOKUP(A910,DOI_URL!$B$1:$C$74,2,FALSE()))</f>
        <v/>
      </c>
      <c r="C910" s="8"/>
      <c r="D910" s="8"/>
      <c r="I910" s="8"/>
      <c r="J910" s="8"/>
    </row>
    <row r="911">
      <c r="A911" s="8"/>
      <c r="B911" s="8" t="str">
        <f>IF(ISBLANK(A911),"",VLOOKUP(A911,DOI_URL!$B$1:$C$74,2,FALSE()))</f>
        <v/>
      </c>
      <c r="C911" s="8"/>
      <c r="D911" s="8"/>
      <c r="I911" s="8"/>
      <c r="J911" s="8"/>
    </row>
    <row r="912">
      <c r="A912" s="8"/>
      <c r="B912" s="8" t="str">
        <f>IF(ISBLANK(A912),"",VLOOKUP(A912,DOI_URL!$B$1:$C$74,2,FALSE()))</f>
        <v/>
      </c>
      <c r="C912" s="8"/>
      <c r="D912" s="8"/>
      <c r="I912" s="8"/>
      <c r="J912" s="8"/>
    </row>
    <row r="913">
      <c r="A913" s="8"/>
      <c r="B913" s="8" t="str">
        <f>IF(ISBLANK(A913),"",VLOOKUP(A913,DOI_URL!$B$1:$C$74,2,FALSE()))</f>
        <v/>
      </c>
      <c r="C913" s="8"/>
      <c r="D913" s="8"/>
      <c r="I913" s="8"/>
      <c r="J913" s="8"/>
    </row>
    <row r="914">
      <c r="A914" s="8"/>
      <c r="B914" s="8" t="str">
        <f>IF(ISBLANK(A914),"",VLOOKUP(A914,DOI_URL!$B$1:$C$74,2,FALSE()))</f>
        <v/>
      </c>
      <c r="C914" s="8"/>
      <c r="D914" s="8"/>
      <c r="I914" s="8"/>
      <c r="J914" s="8"/>
    </row>
    <row r="915">
      <c r="A915" s="8"/>
      <c r="B915" s="8" t="str">
        <f>IF(ISBLANK(A915),"",VLOOKUP(A915,DOI_URL!$B$1:$C$74,2,FALSE()))</f>
        <v/>
      </c>
      <c r="C915" s="8"/>
      <c r="D915" s="8"/>
      <c r="I915" s="8"/>
      <c r="J915" s="8"/>
    </row>
    <row r="916">
      <c r="A916" s="8"/>
      <c r="B916" s="8" t="str">
        <f>IF(ISBLANK(A916),"",VLOOKUP(A916,DOI_URL!$B$1:$C$74,2,FALSE()))</f>
        <v/>
      </c>
      <c r="C916" s="8"/>
      <c r="D916" s="8"/>
      <c r="I916" s="8"/>
      <c r="J916" s="8"/>
    </row>
    <row r="917">
      <c r="A917" s="8"/>
      <c r="B917" s="8" t="str">
        <f>IF(ISBLANK(A917),"",VLOOKUP(A917,DOI_URL!$B$1:$C$74,2,FALSE()))</f>
        <v/>
      </c>
      <c r="C917" s="8"/>
      <c r="D917" s="8"/>
      <c r="I917" s="8"/>
      <c r="J917" s="8"/>
    </row>
    <row r="918">
      <c r="A918" s="8"/>
      <c r="B918" s="8" t="str">
        <f>IF(ISBLANK(A918),"",VLOOKUP(A918,DOI_URL!$B$1:$C$74,2,FALSE()))</f>
        <v/>
      </c>
      <c r="C918" s="8"/>
      <c r="D918" s="8"/>
      <c r="I918" s="8"/>
      <c r="J918" s="8"/>
    </row>
    <row r="919">
      <c r="A919" s="8"/>
      <c r="B919" s="8" t="str">
        <f>IF(ISBLANK(A919),"",VLOOKUP(A919,DOI_URL!$B$1:$C$74,2,FALSE()))</f>
        <v/>
      </c>
      <c r="C919" s="8"/>
      <c r="D919" s="8"/>
      <c r="I919" s="8"/>
      <c r="J919" s="8"/>
    </row>
    <row r="920">
      <c r="A920" s="8"/>
      <c r="B920" s="8" t="str">
        <f>IF(ISBLANK(A920),"",VLOOKUP(A920,DOI_URL!$B$1:$C$74,2,FALSE()))</f>
        <v/>
      </c>
      <c r="C920" s="8"/>
      <c r="D920" s="8"/>
      <c r="I920" s="8"/>
      <c r="J920" s="8"/>
    </row>
    <row r="921">
      <c r="A921" s="8"/>
      <c r="B921" s="8" t="str">
        <f>IF(ISBLANK(A921),"",VLOOKUP(A921,DOI_URL!$B$1:$C$74,2,FALSE()))</f>
        <v/>
      </c>
      <c r="C921" s="8"/>
      <c r="D921" s="8"/>
      <c r="I921" s="8"/>
      <c r="J921" s="8"/>
    </row>
    <row r="922">
      <c r="A922" s="8"/>
      <c r="B922" s="8" t="str">
        <f>IF(ISBLANK(A922),"",VLOOKUP(A922,DOI_URL!$B$1:$C$74,2,FALSE()))</f>
        <v/>
      </c>
      <c r="C922" s="8"/>
      <c r="D922" s="8"/>
      <c r="I922" s="8"/>
      <c r="J922" s="8"/>
    </row>
    <row r="923">
      <c r="A923" s="8"/>
      <c r="B923" s="8" t="str">
        <f>IF(ISBLANK(A923),"",VLOOKUP(A923,DOI_URL!$B$1:$C$74,2,FALSE()))</f>
        <v/>
      </c>
      <c r="C923" s="8"/>
      <c r="D923" s="8"/>
      <c r="I923" s="8"/>
      <c r="J923" s="8"/>
    </row>
    <row r="924">
      <c r="A924" s="8"/>
      <c r="B924" s="8" t="str">
        <f>IF(ISBLANK(A924),"",VLOOKUP(A924,DOI_URL!$B$1:$C$74,2,FALSE()))</f>
        <v/>
      </c>
      <c r="C924" s="8"/>
      <c r="D924" s="8"/>
      <c r="I924" s="8"/>
      <c r="J924" s="8"/>
    </row>
    <row r="925">
      <c r="A925" s="8"/>
      <c r="B925" s="8" t="str">
        <f>IF(ISBLANK(A925),"",VLOOKUP(A925,DOI_URL!$B$1:$C$74,2,FALSE()))</f>
        <v/>
      </c>
      <c r="C925" s="8"/>
      <c r="D925" s="8"/>
      <c r="I925" s="8"/>
      <c r="J925" s="8"/>
    </row>
    <row r="926">
      <c r="A926" s="8"/>
      <c r="B926" s="8" t="str">
        <f>IF(ISBLANK(A926),"",VLOOKUP(A926,DOI_URL!$B$1:$C$74,2,FALSE()))</f>
        <v/>
      </c>
      <c r="C926" s="8"/>
      <c r="D926" s="8"/>
      <c r="I926" s="8"/>
      <c r="J926" s="8"/>
    </row>
    <row r="927">
      <c r="A927" s="8"/>
      <c r="B927" s="8" t="str">
        <f>IF(ISBLANK(A927),"",VLOOKUP(A927,DOI_URL!$B$1:$C$74,2,FALSE()))</f>
        <v/>
      </c>
      <c r="C927" s="8"/>
      <c r="D927" s="8"/>
      <c r="I927" s="8"/>
      <c r="J927" s="8"/>
    </row>
    <row r="928">
      <c r="A928" s="8"/>
      <c r="B928" s="8" t="str">
        <f>IF(ISBLANK(A928),"",VLOOKUP(A928,DOI_URL!$B$1:$C$74,2,FALSE()))</f>
        <v/>
      </c>
      <c r="C928" s="8"/>
      <c r="D928" s="8"/>
      <c r="I928" s="8"/>
      <c r="J928" s="8"/>
    </row>
    <row r="929">
      <c r="A929" s="8"/>
      <c r="B929" s="8" t="str">
        <f>IF(ISBLANK(A929),"",VLOOKUP(A929,DOI_URL!$B$1:$C$74,2,FALSE()))</f>
        <v/>
      </c>
      <c r="C929" s="8"/>
      <c r="D929" s="8"/>
      <c r="I929" s="8"/>
      <c r="J929" s="8"/>
    </row>
    <row r="930">
      <c r="A930" s="8"/>
      <c r="B930" s="8" t="str">
        <f>IF(ISBLANK(A930),"",VLOOKUP(A930,DOI_URL!$B$1:$C$74,2,FALSE()))</f>
        <v/>
      </c>
      <c r="C930" s="8"/>
      <c r="D930" s="8"/>
      <c r="I930" s="8"/>
      <c r="J930" s="8"/>
    </row>
    <row r="931">
      <c r="A931" s="8"/>
      <c r="B931" s="8" t="str">
        <f>IF(ISBLANK(A931),"",VLOOKUP(A931,DOI_URL!$B$1:$C$74,2,FALSE()))</f>
        <v/>
      </c>
      <c r="C931" s="8"/>
      <c r="D931" s="8"/>
      <c r="I931" s="8"/>
      <c r="J931" s="8"/>
    </row>
    <row r="932">
      <c r="A932" s="8"/>
      <c r="B932" s="8" t="str">
        <f>IF(ISBLANK(A932),"",VLOOKUP(A932,DOI_URL!$B$1:$C$74,2,FALSE()))</f>
        <v/>
      </c>
      <c r="C932" s="8"/>
      <c r="D932" s="8"/>
      <c r="I932" s="8"/>
      <c r="J932" s="8"/>
    </row>
    <row r="933">
      <c r="A933" s="8"/>
      <c r="B933" s="8" t="str">
        <f>IF(ISBLANK(A933),"",VLOOKUP(A933,DOI_URL!$B$1:$C$74,2,FALSE()))</f>
        <v/>
      </c>
      <c r="C933" s="8"/>
      <c r="D933" s="8"/>
      <c r="I933" s="8"/>
      <c r="J933" s="8"/>
    </row>
    <row r="934">
      <c r="A934" s="8"/>
      <c r="B934" s="8" t="str">
        <f>IF(ISBLANK(A934),"",VLOOKUP(A934,DOI_URL!$B$1:$C$74,2,FALSE()))</f>
        <v/>
      </c>
      <c r="C934" s="8"/>
      <c r="D934" s="8"/>
      <c r="I934" s="8"/>
      <c r="J934" s="8"/>
    </row>
    <row r="935">
      <c r="A935" s="8"/>
      <c r="B935" s="8" t="str">
        <f>IF(ISBLANK(A935),"",VLOOKUP(A935,DOI_URL!$B$1:$C$74,2,FALSE()))</f>
        <v/>
      </c>
      <c r="C935" s="8"/>
      <c r="D935" s="8"/>
      <c r="I935" s="8"/>
      <c r="J935" s="8"/>
    </row>
    <row r="936">
      <c r="A936" s="8"/>
      <c r="B936" s="8" t="str">
        <f>IF(ISBLANK(A936),"",VLOOKUP(A936,DOI_URL!$B$1:$C$74,2,FALSE()))</f>
        <v/>
      </c>
      <c r="C936" s="8"/>
      <c r="D936" s="8"/>
      <c r="I936" s="8"/>
      <c r="J936" s="8"/>
    </row>
    <row r="937">
      <c r="A937" s="8"/>
      <c r="B937" s="8" t="str">
        <f>IF(ISBLANK(A937),"",VLOOKUP(A937,DOI_URL!$B$1:$C$74,2,FALSE()))</f>
        <v/>
      </c>
      <c r="C937" s="8"/>
      <c r="D937" s="8"/>
      <c r="I937" s="8"/>
      <c r="J937" s="8"/>
    </row>
    <row r="938">
      <c r="A938" s="8"/>
      <c r="B938" s="8" t="str">
        <f>IF(ISBLANK(A938),"",VLOOKUP(A938,DOI_URL!$B$1:$C$74,2,FALSE()))</f>
        <v/>
      </c>
      <c r="C938" s="8"/>
      <c r="D938" s="8"/>
      <c r="I938" s="8"/>
      <c r="J938" s="8"/>
    </row>
    <row r="939">
      <c r="A939" s="8"/>
      <c r="B939" s="8" t="str">
        <f>IF(ISBLANK(A939),"",VLOOKUP(A939,DOI_URL!$B$1:$C$74,2,FALSE()))</f>
        <v/>
      </c>
      <c r="C939" s="8"/>
      <c r="D939" s="8"/>
      <c r="I939" s="8"/>
      <c r="J939" s="8"/>
    </row>
    <row r="940">
      <c r="A940" s="8"/>
      <c r="B940" s="8" t="str">
        <f>IF(ISBLANK(A940),"",VLOOKUP(A940,DOI_URL!$B$1:$C$74,2,FALSE()))</f>
        <v/>
      </c>
      <c r="C940" s="8"/>
      <c r="D940" s="8"/>
      <c r="I940" s="8"/>
      <c r="J940" s="8"/>
    </row>
    <row r="941">
      <c r="A941" s="8"/>
      <c r="B941" s="8" t="str">
        <f>IF(ISBLANK(A941),"",VLOOKUP(A941,DOI_URL!$B$1:$C$74,2,FALSE()))</f>
        <v/>
      </c>
      <c r="C941" s="8"/>
      <c r="D941" s="8"/>
      <c r="I941" s="8"/>
      <c r="J941" s="8"/>
    </row>
    <row r="942">
      <c r="A942" s="8"/>
      <c r="B942" s="8" t="str">
        <f>IF(ISBLANK(A942),"",VLOOKUP(A942,DOI_URL!$B$1:$C$74,2,FALSE()))</f>
        <v/>
      </c>
      <c r="C942" s="8"/>
      <c r="D942" s="8"/>
      <c r="I942" s="8"/>
      <c r="J942" s="8"/>
    </row>
    <row r="943">
      <c r="A943" s="8"/>
      <c r="B943" s="8" t="str">
        <f>IF(ISBLANK(A943),"",VLOOKUP(A943,DOI_URL!$B$1:$C$74,2,FALSE()))</f>
        <v/>
      </c>
      <c r="C943" s="8"/>
      <c r="D943" s="8"/>
      <c r="I943" s="8"/>
      <c r="J943" s="8"/>
    </row>
    <row r="944">
      <c r="A944" s="8"/>
      <c r="B944" s="8" t="str">
        <f>IF(ISBLANK(A944),"",VLOOKUP(A944,DOI_URL!$B$1:$C$74,2,FALSE()))</f>
        <v/>
      </c>
      <c r="C944" s="8"/>
      <c r="D944" s="8"/>
      <c r="I944" s="8"/>
      <c r="J944" s="8"/>
    </row>
    <row r="945">
      <c r="A945" s="8"/>
      <c r="B945" s="8" t="str">
        <f>IF(ISBLANK(A945),"",VLOOKUP(A945,DOI_URL!$B$1:$C$74,2,FALSE()))</f>
        <v/>
      </c>
      <c r="C945" s="8"/>
      <c r="D945" s="8"/>
      <c r="I945" s="8"/>
      <c r="J945" s="8"/>
    </row>
    <row r="946">
      <c r="A946" s="8"/>
      <c r="B946" s="8" t="str">
        <f>IF(ISBLANK(A946),"",VLOOKUP(A946,DOI_URL!$B$1:$C$74,2,FALSE()))</f>
        <v/>
      </c>
      <c r="C946" s="8"/>
      <c r="D946" s="8"/>
      <c r="I946" s="8"/>
      <c r="J946" s="8"/>
    </row>
    <row r="947">
      <c r="A947" s="8"/>
      <c r="B947" s="8" t="str">
        <f>IF(ISBLANK(A947),"",VLOOKUP(A947,DOI_URL!$B$1:$C$74,2,FALSE()))</f>
        <v/>
      </c>
      <c r="C947" s="8"/>
      <c r="D947" s="8"/>
      <c r="I947" s="8"/>
      <c r="J947" s="8"/>
    </row>
    <row r="948">
      <c r="A948" s="8"/>
      <c r="B948" s="8" t="str">
        <f>IF(ISBLANK(A948),"",VLOOKUP(A948,DOI_URL!$B$1:$C$74,2,FALSE()))</f>
        <v/>
      </c>
      <c r="C948" s="8"/>
      <c r="D948" s="8"/>
      <c r="I948" s="8"/>
      <c r="J948" s="8"/>
    </row>
    <row r="949">
      <c r="A949" s="8"/>
      <c r="B949" s="8" t="str">
        <f>IF(ISBLANK(A949),"",VLOOKUP(A949,DOI_URL!$B$1:$C$74,2,FALSE()))</f>
        <v/>
      </c>
      <c r="C949" s="8"/>
      <c r="D949" s="8"/>
      <c r="I949" s="8"/>
      <c r="J949" s="8"/>
    </row>
    <row r="950">
      <c r="A950" s="8"/>
      <c r="B950" s="8" t="str">
        <f>IF(ISBLANK(A950),"",VLOOKUP(A950,DOI_URL!$B$1:$C$74,2,FALSE()))</f>
        <v/>
      </c>
      <c r="C950" s="8"/>
      <c r="D950" s="8"/>
      <c r="I950" s="8"/>
      <c r="J950" s="8"/>
    </row>
    <row r="951">
      <c r="A951" s="8"/>
      <c r="B951" s="8" t="str">
        <f>IF(ISBLANK(A951),"",VLOOKUP(A951,DOI_URL!$B$1:$C$74,2,FALSE()))</f>
        <v/>
      </c>
      <c r="C951" s="8"/>
      <c r="D951" s="8"/>
      <c r="I951" s="8"/>
      <c r="J951" s="8"/>
    </row>
    <row r="952">
      <c r="A952" s="8"/>
      <c r="B952" s="8" t="str">
        <f>IF(ISBLANK(A952),"",VLOOKUP(A952,DOI_URL!$B$1:$C$74,2,FALSE()))</f>
        <v/>
      </c>
      <c r="C952" s="8"/>
      <c r="D952" s="8"/>
      <c r="I952" s="8"/>
      <c r="J952" s="8"/>
    </row>
    <row r="953">
      <c r="A953" s="8"/>
      <c r="B953" s="8" t="str">
        <f>IF(ISBLANK(A953),"",VLOOKUP(A953,DOI_URL!$B$1:$C$74,2,FALSE()))</f>
        <v/>
      </c>
      <c r="C953" s="8"/>
      <c r="D953" s="8"/>
      <c r="I953" s="8"/>
      <c r="J953" s="8"/>
    </row>
    <row r="954">
      <c r="A954" s="8"/>
      <c r="B954" s="8" t="str">
        <f>IF(ISBLANK(A954),"",VLOOKUP(A954,DOI_URL!$B$1:$C$74,2,FALSE()))</f>
        <v/>
      </c>
      <c r="C954" s="8"/>
      <c r="D954" s="8"/>
      <c r="I954" s="8"/>
      <c r="J954" s="8"/>
    </row>
    <row r="955">
      <c r="A955" s="8"/>
      <c r="B955" s="8" t="str">
        <f>IF(ISBLANK(A955),"",VLOOKUP(A955,DOI_URL!$B$1:$C$74,2,FALSE()))</f>
        <v/>
      </c>
      <c r="C955" s="8"/>
      <c r="D955" s="8"/>
      <c r="I955" s="8"/>
      <c r="J955" s="8"/>
    </row>
    <row r="956">
      <c r="A956" s="8"/>
      <c r="B956" s="8" t="str">
        <f>IF(ISBLANK(A956),"",VLOOKUP(A956,DOI_URL!$B$1:$C$74,2,FALSE()))</f>
        <v/>
      </c>
      <c r="C956" s="8"/>
      <c r="D956" s="8"/>
      <c r="I956" s="8"/>
      <c r="J956" s="8"/>
    </row>
    <row r="957">
      <c r="A957" s="8"/>
      <c r="B957" s="8" t="str">
        <f>IF(ISBLANK(A957),"",VLOOKUP(A957,DOI_URL!$B$1:$C$74,2,FALSE()))</f>
        <v/>
      </c>
      <c r="C957" s="8"/>
      <c r="D957" s="8"/>
      <c r="I957" s="8"/>
      <c r="J957" s="8"/>
    </row>
    <row r="958">
      <c r="A958" s="8"/>
      <c r="B958" s="8" t="str">
        <f>IF(ISBLANK(A958),"",VLOOKUP(A958,DOI_URL!$B$1:$C$74,2,FALSE()))</f>
        <v/>
      </c>
      <c r="C958" s="8"/>
      <c r="D958" s="8"/>
      <c r="I958" s="8"/>
      <c r="J958" s="8"/>
    </row>
    <row r="959">
      <c r="A959" s="8"/>
      <c r="B959" s="8" t="str">
        <f>IF(ISBLANK(A959),"",VLOOKUP(A959,DOI_URL!$B$1:$C$74,2,FALSE()))</f>
        <v/>
      </c>
      <c r="C959" s="8"/>
      <c r="D959" s="8"/>
      <c r="I959" s="8"/>
      <c r="J959" s="8"/>
    </row>
    <row r="960">
      <c r="A960" s="8"/>
      <c r="B960" s="8" t="str">
        <f>IF(ISBLANK(A960),"",VLOOKUP(A960,DOI_URL!$B$1:$C$74,2,FALSE()))</f>
        <v/>
      </c>
      <c r="C960" s="8"/>
      <c r="D960" s="8"/>
      <c r="I960" s="8"/>
      <c r="J960" s="8"/>
    </row>
    <row r="961">
      <c r="A961" s="8"/>
      <c r="B961" s="8" t="str">
        <f>IF(ISBLANK(A961),"",VLOOKUP(A961,DOI_URL!$B$1:$C$74,2,FALSE()))</f>
        <v/>
      </c>
      <c r="C961" s="8"/>
      <c r="D961" s="8"/>
      <c r="I961" s="8"/>
      <c r="J961" s="8"/>
    </row>
    <row r="962">
      <c r="A962" s="8"/>
      <c r="B962" s="8" t="str">
        <f>IF(ISBLANK(A962),"",VLOOKUP(A962,DOI_URL!$B$1:$C$74,2,FALSE()))</f>
        <v/>
      </c>
      <c r="C962" s="8"/>
      <c r="D962" s="8"/>
      <c r="I962" s="8"/>
      <c r="J962" s="8"/>
    </row>
    <row r="963">
      <c r="A963" s="8"/>
      <c r="B963" s="8" t="str">
        <f>IF(ISBLANK(A963),"",VLOOKUP(A963,DOI_URL!$B$1:$C$74,2,FALSE()))</f>
        <v/>
      </c>
      <c r="C963" s="8"/>
      <c r="D963" s="8"/>
      <c r="I963" s="8"/>
      <c r="J963" s="8"/>
    </row>
    <row r="964">
      <c r="A964" s="8"/>
      <c r="B964" s="8" t="str">
        <f>IF(ISBLANK(A964),"",VLOOKUP(A964,DOI_URL!$B$1:$C$74,2,FALSE()))</f>
        <v/>
      </c>
      <c r="C964" s="8"/>
      <c r="D964" s="8"/>
      <c r="I964" s="8"/>
      <c r="J964" s="8"/>
    </row>
    <row r="965">
      <c r="A965" s="8"/>
      <c r="B965" s="8" t="str">
        <f>IF(ISBLANK(A965),"",VLOOKUP(A965,DOI_URL!$B$1:$C$74,2,FALSE()))</f>
        <v/>
      </c>
      <c r="C965" s="8"/>
      <c r="D965" s="8"/>
      <c r="I965" s="8"/>
      <c r="J965" s="8"/>
    </row>
    <row r="966">
      <c r="A966" s="8"/>
      <c r="B966" s="8" t="str">
        <f>IF(ISBLANK(A966),"",VLOOKUP(A966,DOI_URL!$B$1:$C$74,2,FALSE()))</f>
        <v/>
      </c>
      <c r="C966" s="8"/>
      <c r="D966" s="8"/>
      <c r="I966" s="8"/>
      <c r="J966" s="8"/>
    </row>
    <row r="967">
      <c r="A967" s="8"/>
      <c r="B967" s="8" t="str">
        <f>IF(ISBLANK(A967),"",VLOOKUP(A967,DOI_URL!$B$1:$C$74,2,FALSE()))</f>
        <v/>
      </c>
      <c r="C967" s="8"/>
      <c r="D967" s="8"/>
      <c r="I967" s="8"/>
      <c r="J967" s="8"/>
    </row>
    <row r="968">
      <c r="A968" s="8"/>
      <c r="B968" s="8" t="str">
        <f>IF(ISBLANK(A968),"",VLOOKUP(A968,DOI_URL!$B$1:$C$74,2,FALSE()))</f>
        <v/>
      </c>
      <c r="C968" s="8"/>
      <c r="D968" s="8"/>
      <c r="I968" s="8"/>
      <c r="J968" s="8"/>
    </row>
    <row r="969">
      <c r="A969" s="8"/>
      <c r="B969" s="8" t="str">
        <f>IF(ISBLANK(A969),"",VLOOKUP(A969,DOI_URL!$B$1:$C$74,2,FALSE()))</f>
        <v/>
      </c>
      <c r="C969" s="8"/>
      <c r="D969" s="8"/>
      <c r="I969" s="8"/>
      <c r="J969" s="8"/>
    </row>
    <row r="970">
      <c r="A970" s="8"/>
      <c r="B970" s="8" t="str">
        <f>IF(ISBLANK(A970),"",VLOOKUP(A970,DOI_URL!$B$1:$C$74,2,FALSE()))</f>
        <v/>
      </c>
      <c r="C970" s="8"/>
      <c r="D970" s="8"/>
      <c r="I970" s="8"/>
      <c r="J970" s="8"/>
    </row>
    <row r="971">
      <c r="A971" s="8"/>
      <c r="B971" s="8" t="str">
        <f>IF(ISBLANK(A971),"",VLOOKUP(A971,DOI_URL!$B$1:$C$74,2,FALSE()))</f>
        <v/>
      </c>
      <c r="C971" s="8"/>
      <c r="D971" s="8"/>
      <c r="I971" s="8"/>
      <c r="J971" s="8"/>
    </row>
    <row r="972">
      <c r="A972" s="8"/>
      <c r="B972" s="8" t="str">
        <f>IF(ISBLANK(A972),"",VLOOKUP(A972,DOI_URL!$B$1:$C$74,2,FALSE()))</f>
        <v/>
      </c>
      <c r="C972" s="8"/>
      <c r="D972" s="8"/>
      <c r="I972" s="8"/>
      <c r="J972" s="8"/>
    </row>
    <row r="973">
      <c r="A973" s="8"/>
      <c r="B973" s="8" t="str">
        <f>IF(ISBLANK(A973),"",VLOOKUP(A973,DOI_URL!$B$1:$C$74,2,FALSE()))</f>
        <v/>
      </c>
      <c r="C973" s="8"/>
      <c r="D973" s="8"/>
      <c r="I973" s="8"/>
      <c r="J973" s="8"/>
    </row>
    <row r="974">
      <c r="A974" s="8"/>
      <c r="B974" s="8" t="str">
        <f>IF(ISBLANK(A974),"",VLOOKUP(A974,DOI_URL!$B$1:$C$74,2,FALSE()))</f>
        <v/>
      </c>
      <c r="C974" s="8"/>
      <c r="D974" s="8"/>
      <c r="I974" s="8"/>
      <c r="J974" s="8"/>
    </row>
    <row r="975">
      <c r="A975" s="8"/>
      <c r="B975" s="8" t="str">
        <f>IF(ISBLANK(A975),"",VLOOKUP(A975,DOI_URL!$B$1:$C$74,2,FALSE()))</f>
        <v/>
      </c>
      <c r="C975" s="8"/>
      <c r="D975" s="8"/>
      <c r="I975" s="8"/>
      <c r="J975" s="8"/>
    </row>
    <row r="976">
      <c r="A976" s="8"/>
      <c r="B976" s="8" t="str">
        <f>IF(ISBLANK(A976),"",VLOOKUP(A976,DOI_URL!$B$1:$C$74,2,FALSE()))</f>
        <v/>
      </c>
      <c r="C976" s="8"/>
      <c r="D976" s="8"/>
      <c r="I976" s="8"/>
      <c r="J976" s="8"/>
    </row>
    <row r="977">
      <c r="A977" s="8"/>
      <c r="B977" s="8" t="str">
        <f>IF(ISBLANK(A977),"",VLOOKUP(A977,DOI_URL!$B$1:$C$74,2,FALSE()))</f>
        <v/>
      </c>
      <c r="C977" s="8"/>
      <c r="D977" s="8"/>
      <c r="I977" s="8"/>
      <c r="J977" s="8"/>
    </row>
    <row r="978">
      <c r="A978" s="8"/>
      <c r="B978" s="8" t="str">
        <f>IF(ISBLANK(A978),"",VLOOKUP(A978,DOI_URL!$B$1:$C$74,2,FALSE()))</f>
        <v/>
      </c>
      <c r="C978" s="8"/>
      <c r="D978" s="8"/>
      <c r="I978" s="8"/>
      <c r="J978" s="8"/>
    </row>
    <row r="979">
      <c r="A979" s="8"/>
      <c r="B979" s="8" t="str">
        <f>IF(ISBLANK(A979),"",VLOOKUP(A979,DOI_URL!$B$1:$C$74,2,FALSE()))</f>
        <v/>
      </c>
      <c r="C979" s="8"/>
      <c r="D979" s="8"/>
      <c r="I979" s="8"/>
      <c r="J979" s="8"/>
    </row>
    <row r="980">
      <c r="A980" s="8"/>
      <c r="B980" s="8" t="str">
        <f>IF(ISBLANK(A980),"",VLOOKUP(A980,DOI_URL!$B$1:$C$74,2,FALSE()))</f>
        <v/>
      </c>
      <c r="C980" s="8"/>
      <c r="D980" s="8"/>
      <c r="I980" s="8"/>
      <c r="J980" s="8"/>
    </row>
    <row r="981">
      <c r="A981" s="8"/>
      <c r="B981" s="8" t="str">
        <f>IF(ISBLANK(A981),"",VLOOKUP(A981,DOI_URL!$B$1:$C$74,2,FALSE()))</f>
        <v/>
      </c>
      <c r="C981" s="8"/>
      <c r="D981" s="8"/>
      <c r="I981" s="8"/>
      <c r="J981" s="8"/>
    </row>
    <row r="982">
      <c r="A982" s="8"/>
      <c r="B982" s="8" t="str">
        <f>IF(ISBLANK(A982),"",VLOOKUP(A982,DOI_URL!$B$1:$C$74,2,FALSE()))</f>
        <v/>
      </c>
      <c r="C982" s="8"/>
      <c r="D982" s="8"/>
      <c r="I982" s="8"/>
      <c r="J982" s="8"/>
    </row>
    <row r="983">
      <c r="A983" s="8"/>
      <c r="B983" s="8" t="str">
        <f>IF(ISBLANK(A983),"",VLOOKUP(A983,DOI_URL!$B$1:$C$74,2,FALSE()))</f>
        <v/>
      </c>
      <c r="C983" s="8"/>
      <c r="D983" s="8"/>
      <c r="I983" s="8"/>
      <c r="J983" s="8"/>
    </row>
    <row r="984">
      <c r="A984" s="8"/>
      <c r="B984" s="8" t="str">
        <f>IF(ISBLANK(A984),"",VLOOKUP(A984,DOI_URL!$B$1:$C$74,2,FALSE()))</f>
        <v/>
      </c>
      <c r="C984" s="8"/>
      <c r="D984" s="8"/>
      <c r="I984" s="8"/>
      <c r="J984" s="8"/>
    </row>
    <row r="985">
      <c r="A985" s="8"/>
      <c r="B985" s="8" t="str">
        <f>IF(ISBLANK(A985),"",VLOOKUP(A985,DOI_URL!$B$1:$C$74,2,FALSE()))</f>
        <v/>
      </c>
      <c r="C985" s="8"/>
      <c r="D985" s="8"/>
      <c r="I985" s="8"/>
      <c r="J985" s="8"/>
    </row>
    <row r="986">
      <c r="A986" s="8"/>
      <c r="B986" s="8" t="str">
        <f>IF(ISBLANK(A986),"",VLOOKUP(A986,DOI_URL!$B$1:$C$74,2,FALSE()))</f>
        <v/>
      </c>
      <c r="C986" s="8"/>
      <c r="D986" s="8"/>
      <c r="I986" s="8"/>
      <c r="J986" s="8"/>
    </row>
    <row r="987">
      <c r="A987" s="8"/>
      <c r="B987" s="8" t="str">
        <f>IF(ISBLANK(A987),"",VLOOKUP(A987,DOI_URL!$B$1:$C$74,2,FALSE()))</f>
        <v/>
      </c>
      <c r="C987" s="8"/>
      <c r="D987" s="8"/>
      <c r="I987" s="8"/>
      <c r="J987" s="8"/>
    </row>
    <row r="988">
      <c r="A988" s="8"/>
      <c r="B988" s="8" t="str">
        <f>IF(ISBLANK(A988),"",VLOOKUP(A988,DOI_URL!$B$1:$C$74,2,FALSE()))</f>
        <v/>
      </c>
      <c r="C988" s="8"/>
      <c r="D988" s="8"/>
      <c r="I988" s="8"/>
      <c r="J988" s="8"/>
    </row>
    <row r="989">
      <c r="A989" s="8"/>
      <c r="B989" s="8" t="str">
        <f>IF(ISBLANK(A989),"",VLOOKUP(A989,DOI_URL!$B$1:$C$74,2,FALSE()))</f>
        <v/>
      </c>
      <c r="C989" s="8"/>
      <c r="D989" s="8"/>
      <c r="I989" s="8"/>
      <c r="J989" s="8"/>
    </row>
    <row r="990">
      <c r="A990" s="8"/>
      <c r="B990" s="8" t="str">
        <f>IF(ISBLANK(A990),"",VLOOKUP(A990,DOI_URL!$B$1:$C$74,2,FALSE()))</f>
        <v/>
      </c>
      <c r="C990" s="8"/>
      <c r="D990" s="8"/>
      <c r="I990" s="8"/>
      <c r="J990" s="8"/>
    </row>
    <row r="991">
      <c r="A991" s="8"/>
      <c r="B991" s="8" t="str">
        <f>IF(ISBLANK(A991),"",VLOOKUP(A991,DOI_URL!$B$1:$C$74,2,FALSE()))</f>
        <v/>
      </c>
      <c r="C991" s="8"/>
      <c r="D991" s="8"/>
      <c r="I991" s="8"/>
      <c r="J991" s="8"/>
    </row>
    <row r="992">
      <c r="A992" s="8"/>
      <c r="B992" s="8" t="str">
        <f>IF(ISBLANK(A992),"",VLOOKUP(A992,DOI_URL!$B$1:$C$74,2,FALSE()))</f>
        <v/>
      </c>
      <c r="C992" s="8"/>
      <c r="D992" s="8"/>
      <c r="I992" s="8"/>
      <c r="J992" s="8"/>
    </row>
    <row r="993">
      <c r="A993" s="8"/>
      <c r="B993" s="8" t="str">
        <f>IF(ISBLANK(A993),"",VLOOKUP(A993,DOI_URL!$B$1:$C$74,2,FALSE()))</f>
        <v/>
      </c>
      <c r="C993" s="8"/>
      <c r="D993" s="8"/>
      <c r="I993" s="8"/>
      <c r="J993" s="8"/>
    </row>
    <row r="994">
      <c r="A994" s="8"/>
      <c r="B994" s="8" t="str">
        <f>IF(ISBLANK(A994),"",VLOOKUP(A994,DOI_URL!$B$1:$C$74,2,FALSE()))</f>
        <v/>
      </c>
      <c r="C994" s="8"/>
      <c r="D994" s="8"/>
      <c r="I994" s="8"/>
      <c r="J994" s="8"/>
    </row>
    <row r="995">
      <c r="A995" s="8"/>
      <c r="B995" s="8" t="str">
        <f>IF(ISBLANK(A995),"",VLOOKUP(A995,DOI_URL!$B$1:$C$74,2,FALSE()))</f>
        <v/>
      </c>
      <c r="C995" s="8"/>
      <c r="D995" s="8"/>
      <c r="I995" s="8"/>
      <c r="J995" s="8"/>
    </row>
    <row r="996">
      <c r="A996" s="8"/>
      <c r="B996" s="8" t="str">
        <f>IF(ISBLANK(A996),"",VLOOKUP(A996,DOI_URL!$B$1:$C$74,2,FALSE()))</f>
        <v/>
      </c>
      <c r="C996" s="8"/>
      <c r="D996" s="8"/>
      <c r="I996" s="8"/>
      <c r="J996" s="8"/>
    </row>
    <row r="997">
      <c r="A997" s="8"/>
      <c r="B997" s="8" t="str">
        <f>IF(ISBLANK(A997),"",VLOOKUP(A997,DOI_URL!$B$1:$C$74,2,FALSE()))</f>
        <v/>
      </c>
      <c r="C997" s="8"/>
      <c r="D997" s="8"/>
      <c r="I997" s="8"/>
      <c r="J997" s="8"/>
    </row>
    <row r="998">
      <c r="A998" s="8"/>
      <c r="B998" s="8" t="str">
        <f>IF(ISBLANK(A998),"",VLOOKUP(A998,DOI_URL!$B$1:$C$74,2,FALSE()))</f>
        <v/>
      </c>
      <c r="C998" s="8"/>
      <c r="D998" s="8"/>
      <c r="I998" s="8"/>
      <c r="J998" s="8"/>
    </row>
    <row r="999">
      <c r="A999" s="8"/>
      <c r="B999" s="8" t="str">
        <f>IF(ISBLANK(A999),"",VLOOKUP(A999,DOI_URL!$B$1:$C$74,2,FALSE()))</f>
        <v/>
      </c>
      <c r="C999" s="8"/>
      <c r="D999" s="8"/>
      <c r="I999" s="8"/>
      <c r="J999" s="8"/>
    </row>
    <row r="1000">
      <c r="A1000" s="8"/>
      <c r="B1000" s="8" t="str">
        <f>IF(ISBLANK(A1000),"",VLOOKUP(A1000,DOI_URL!$B$1:$C$74,2,FALSE()))</f>
        <v/>
      </c>
      <c r="C1000" s="8"/>
      <c r="D1000" s="8"/>
      <c r="I1000" s="8"/>
      <c r="J1000" s="8"/>
    </row>
    <row r="1001">
      <c r="A1001" s="8"/>
      <c r="B1001" s="8" t="str">
        <f>IF(ISBLANK(A1001),"",VLOOKUP(A1001,DOI_URL!$B$1:$C$74,2,FALSE()))</f>
        <v/>
      </c>
      <c r="C1001" s="8"/>
      <c r="D1001" s="8"/>
      <c r="I1001" s="8"/>
      <c r="J1001" s="8"/>
    </row>
    <row r="1002">
      <c r="A1002" s="8"/>
      <c r="B1002" s="8" t="str">
        <f>IF(ISBLANK(A1002),"",VLOOKUP(A1002,DOI_URL!$B$1:$C$74,2,FALSE()))</f>
        <v/>
      </c>
      <c r="C1002" s="8"/>
      <c r="D1002" s="8"/>
      <c r="I1002" s="8"/>
      <c r="J1002" s="8"/>
    </row>
    <row r="1003">
      <c r="A1003" s="8"/>
      <c r="B1003" s="8" t="str">
        <f>IF(ISBLANK(A1003),"",VLOOKUP(A1003,DOI_URL!$B$1:$C$74,2,FALSE()))</f>
        <v/>
      </c>
      <c r="C1003" s="8"/>
      <c r="D1003" s="8"/>
      <c r="I1003" s="8"/>
      <c r="J1003" s="8"/>
    </row>
    <row r="1004">
      <c r="A1004" s="8"/>
      <c r="B1004" s="8" t="str">
        <f>IF(ISBLANK(A1004),"",VLOOKUP(A1004,DOI_URL!$B$1:$C$74,2,FALSE()))</f>
        <v/>
      </c>
      <c r="C1004" s="8"/>
      <c r="D1004" s="8"/>
      <c r="I1004" s="8"/>
      <c r="J1004" s="8"/>
    </row>
    <row r="1005">
      <c r="A1005" s="8"/>
      <c r="B1005" s="8" t="str">
        <f>IF(ISBLANK(A1005),"",VLOOKUP(A1005,DOI_URL!$B$1:$C$74,2,FALSE()))</f>
        <v/>
      </c>
      <c r="C1005" s="8"/>
      <c r="D1005" s="8"/>
      <c r="I1005" s="8"/>
      <c r="J1005" s="8"/>
    </row>
    <row r="1006">
      <c r="A1006" s="8"/>
      <c r="B1006" s="8" t="str">
        <f>IF(ISBLANK(A1006),"",VLOOKUP(A1006,DOI_URL!$B$1:$C$74,2,FALSE()))</f>
        <v/>
      </c>
      <c r="C1006" s="8"/>
      <c r="D1006" s="8"/>
      <c r="I1006" s="8"/>
      <c r="J1006" s="8"/>
    </row>
  </sheetData>
  <dataValidations>
    <dataValidation type="list" allowBlank="1" showInputMessage="1" prompt="Haz clic e introduce un valor de intervalo 'General Taggs'!C2:C32" sqref="S13 AC13 I2:I1006">
      <formula1>'General Tags'!$D$2:$D$32</formula1>
    </dataValidation>
    <dataValidation type="list" allowBlank="1" sqref="K13 U13 A2:A67 A77:A89 A91:A1006">
      <formula1>Assignment!$B$3:$B$55</formula1>
    </dataValidation>
    <dataValidation type="list" allowBlank="1" sqref="M13 W13 C2:C1006">
      <formula1>'General Tags'!$B$2:$B$3</formula1>
    </dataValidation>
    <dataValidation type="list" allowBlank="1" sqref="N13 X13 D2:D1006">
      <formula1>'General Tags'!$C$2:$C$3</formula1>
    </dataValidation>
    <dataValidation type="list" allowBlank="1" showInputMessage="1" showErrorMessage="1" prompt="Please, first add the SE task in the General tags page in column E" sqref="T13 AD13 J2:J1006">
      <formula1>'General Tags'!$F$2:$F$295</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0"/>
    <col customWidth="1" min="4" max="4" width="20.13"/>
    <col customWidth="1" min="5" max="5" width="21.63"/>
    <col customWidth="1" min="6" max="6" width="30.0"/>
    <col customWidth="1" min="7" max="8" width="32.63"/>
    <col customWidth="1" min="9" max="9" width="19.63"/>
    <col customWidth="1" min="10" max="10" width="25.38"/>
  </cols>
  <sheetData>
    <row r="1" ht="35.25" customHeight="1">
      <c r="A1" s="172" t="s">
        <v>3329</v>
      </c>
      <c r="B1" s="158" t="s">
        <v>3330</v>
      </c>
      <c r="C1" s="158" t="s">
        <v>3307</v>
      </c>
      <c r="D1" s="158" t="s">
        <v>3331</v>
      </c>
      <c r="E1" s="158" t="s">
        <v>2</v>
      </c>
      <c r="F1" s="160" t="s">
        <v>3</v>
      </c>
      <c r="G1" s="173" t="s">
        <v>4</v>
      </c>
      <c r="H1" s="174" t="s">
        <v>5</v>
      </c>
      <c r="I1" s="159" t="s">
        <v>6</v>
      </c>
      <c r="J1" s="159" t="s">
        <v>7</v>
      </c>
    </row>
    <row r="2">
      <c r="A2" s="1" t="s">
        <v>1154</v>
      </c>
      <c r="B2" s="170" t="str">
        <f>IF(ISBLANK(A2),"",VLOOKUP(A2,DOI_URL!$B$1:$C$74,2,FALSE()))</f>
        <v>https://drive.google.com/file/d/1DBiMfAGg2YJNNshbUDzRDMm1x6_FUeud/view?usp=sharing</v>
      </c>
      <c r="C2" s="1" t="s">
        <v>3311</v>
      </c>
      <c r="D2" s="1" t="s">
        <v>3311</v>
      </c>
      <c r="E2" s="1" t="s">
        <v>3344</v>
      </c>
      <c r="F2" s="1" t="s">
        <v>1174</v>
      </c>
      <c r="G2" s="1" t="s">
        <v>2772</v>
      </c>
      <c r="H2" s="1" t="s">
        <v>2773</v>
      </c>
      <c r="I2" s="1" t="s">
        <v>14</v>
      </c>
      <c r="J2" s="1" t="s">
        <v>2028</v>
      </c>
      <c r="K2" s="1" t="s">
        <v>3345</v>
      </c>
    </row>
    <row r="3">
      <c r="A3" s="1"/>
      <c r="C3" s="1"/>
      <c r="D3" s="1"/>
      <c r="E3" s="1" t="s">
        <v>3346</v>
      </c>
      <c r="F3" s="1" t="s">
        <v>1003</v>
      </c>
      <c r="G3" s="1" t="s">
        <v>1158</v>
      </c>
      <c r="H3" s="1" t="s">
        <v>1159</v>
      </c>
      <c r="I3" s="1" t="s">
        <v>14</v>
      </c>
      <c r="J3" s="1"/>
      <c r="K3" s="1"/>
    </row>
    <row r="4">
      <c r="A4" s="1"/>
      <c r="C4" s="1"/>
      <c r="D4" s="1"/>
      <c r="E4" s="1" t="s">
        <v>3346</v>
      </c>
      <c r="F4" s="1" t="s">
        <v>1365</v>
      </c>
      <c r="G4" s="1" t="s">
        <v>1163</v>
      </c>
      <c r="H4" s="1" t="s">
        <v>1164</v>
      </c>
      <c r="I4" s="1" t="s">
        <v>20</v>
      </c>
      <c r="J4" s="1"/>
      <c r="K4" s="1"/>
    </row>
    <row r="5">
      <c r="A5" s="1"/>
      <c r="C5" s="8"/>
      <c r="D5" s="8"/>
      <c r="E5" s="1" t="s">
        <v>3347</v>
      </c>
      <c r="F5" s="1" t="s">
        <v>2769</v>
      </c>
      <c r="G5" s="1" t="s">
        <v>1167</v>
      </c>
      <c r="H5" s="1" t="s">
        <v>1168</v>
      </c>
      <c r="I5" s="1" t="s">
        <v>54</v>
      </c>
      <c r="J5" s="8"/>
    </row>
    <row r="6">
      <c r="A6" s="1"/>
      <c r="C6" s="8"/>
      <c r="D6" s="8"/>
      <c r="E6" s="1" t="s">
        <v>3348</v>
      </c>
      <c r="F6" s="1" t="s">
        <v>1178</v>
      </c>
      <c r="G6" s="1" t="s">
        <v>1179</v>
      </c>
      <c r="H6" s="1" t="s">
        <v>1180</v>
      </c>
      <c r="I6" s="1" t="s">
        <v>54</v>
      </c>
      <c r="J6" s="8"/>
    </row>
    <row r="7">
      <c r="A7" s="1"/>
      <c r="C7" s="8"/>
      <c r="D7" s="8"/>
      <c r="E7" s="1" t="s">
        <v>3349</v>
      </c>
      <c r="F7" s="1" t="s">
        <v>1170</v>
      </c>
      <c r="G7" s="1" t="s">
        <v>1171</v>
      </c>
      <c r="H7" s="1" t="s">
        <v>1172</v>
      </c>
      <c r="I7" s="1" t="s">
        <v>39</v>
      </c>
      <c r="J7" s="8"/>
    </row>
    <row r="8">
      <c r="A8" s="1"/>
      <c r="C8" s="1"/>
      <c r="D8" s="1"/>
      <c r="I8" s="8"/>
      <c r="J8" s="1"/>
      <c r="K8" s="1"/>
    </row>
    <row r="9">
      <c r="A9" s="1" t="s">
        <v>1181</v>
      </c>
      <c r="B9" s="170" t="str">
        <f>IF(ISBLANK(A9),"",VLOOKUP(A9,DOI_URL!$B$1:$C$74,2,FALSE()))</f>
        <v>https://drive.google.com/file/d/1vGo8j6Ju_NDUi5N64ojnnfsvJlLrnO7a/view?usp=sharing</v>
      </c>
      <c r="C9" s="1" t="s">
        <v>3311</v>
      </c>
      <c r="D9" s="1" t="s">
        <v>3311</v>
      </c>
      <c r="E9" s="1" t="s">
        <v>3350</v>
      </c>
      <c r="F9" s="1" t="s">
        <v>2776</v>
      </c>
      <c r="G9" s="1" t="s">
        <v>2777</v>
      </c>
      <c r="H9" s="1" t="s">
        <v>2778</v>
      </c>
      <c r="I9" s="1" t="s">
        <v>14</v>
      </c>
      <c r="J9" s="1" t="s">
        <v>1186</v>
      </c>
      <c r="K9" s="1" t="s">
        <v>3351</v>
      </c>
    </row>
    <row r="10">
      <c r="A10" s="1"/>
      <c r="C10" s="8"/>
      <c r="D10" s="8"/>
      <c r="E10" s="1" t="s">
        <v>3352</v>
      </c>
      <c r="F10" s="1" t="s">
        <v>1188</v>
      </c>
      <c r="G10" s="1" t="s">
        <v>1189</v>
      </c>
      <c r="H10" s="1" t="s">
        <v>1190</v>
      </c>
      <c r="I10" s="1" t="s">
        <v>14</v>
      </c>
      <c r="J10" s="8"/>
    </row>
    <row r="11">
      <c r="A11" s="1"/>
      <c r="C11" s="8"/>
      <c r="D11" s="8"/>
      <c r="E11" s="1" t="s">
        <v>3353</v>
      </c>
      <c r="F11" s="1" t="s">
        <v>1202</v>
      </c>
      <c r="G11" s="1" t="s">
        <v>2780</v>
      </c>
      <c r="H11" s="1" t="s">
        <v>2781</v>
      </c>
      <c r="I11" s="1" t="s">
        <v>54</v>
      </c>
      <c r="J11" s="8"/>
    </row>
    <row r="12">
      <c r="A12" s="1"/>
      <c r="C12" s="8"/>
      <c r="D12" s="1" t="s">
        <v>3309</v>
      </c>
      <c r="E12" s="1" t="s">
        <v>3354</v>
      </c>
      <c r="F12" s="1" t="s">
        <v>1198</v>
      </c>
      <c r="G12" s="1" t="s">
        <v>1199</v>
      </c>
      <c r="H12" s="55" t="s">
        <v>2784</v>
      </c>
      <c r="I12" s="1" t="s">
        <v>44</v>
      </c>
      <c r="J12" s="8"/>
    </row>
    <row r="13">
      <c r="A13" s="1"/>
      <c r="C13" s="8"/>
      <c r="D13" s="8"/>
      <c r="E13" s="1" t="s">
        <v>3355</v>
      </c>
      <c r="F13" s="1" t="s">
        <v>1202</v>
      </c>
      <c r="G13" s="1" t="s">
        <v>1203</v>
      </c>
      <c r="H13" s="1" t="s">
        <v>1204</v>
      </c>
      <c r="I13" s="1" t="s">
        <v>54</v>
      </c>
      <c r="J13" s="8"/>
    </row>
    <row r="14">
      <c r="A14" s="1"/>
      <c r="C14" s="8"/>
      <c r="D14" s="8"/>
      <c r="E14" s="1" t="s">
        <v>3356</v>
      </c>
      <c r="F14" s="1" t="s">
        <v>1202</v>
      </c>
      <c r="G14" s="1" t="s">
        <v>2785</v>
      </c>
      <c r="H14" s="1" t="s">
        <v>2786</v>
      </c>
      <c r="I14" s="1" t="s">
        <v>54</v>
      </c>
      <c r="J14" s="8"/>
    </row>
    <row r="15">
      <c r="A15" s="1"/>
      <c r="C15" s="8"/>
      <c r="D15" s="8"/>
      <c r="E15" s="1" t="s">
        <v>3357</v>
      </c>
      <c r="F15" s="1" t="s">
        <v>2787</v>
      </c>
      <c r="G15" s="1" t="s">
        <v>1215</v>
      </c>
      <c r="H15" s="1" t="s">
        <v>2788</v>
      </c>
      <c r="I15" s="1" t="s">
        <v>2388</v>
      </c>
      <c r="J15" s="8"/>
    </row>
    <row r="16">
      <c r="A16" s="1"/>
      <c r="C16" s="8"/>
      <c r="D16" s="8"/>
      <c r="E16" s="1" t="s">
        <v>3358</v>
      </c>
      <c r="F16" s="1" t="s">
        <v>1227</v>
      </c>
      <c r="G16" s="1" t="s">
        <v>3359</v>
      </c>
      <c r="H16" s="1" t="s">
        <v>1229</v>
      </c>
      <c r="I16" s="1" t="s">
        <v>39</v>
      </c>
      <c r="J16" s="8"/>
    </row>
    <row r="17">
      <c r="A17" s="1"/>
      <c r="C17" s="8"/>
      <c r="D17" s="8"/>
      <c r="E17" s="1" t="s">
        <v>3360</v>
      </c>
      <c r="F17" s="1" t="s">
        <v>1227</v>
      </c>
      <c r="G17" s="1" t="s">
        <v>933</v>
      </c>
      <c r="H17" s="1" t="s">
        <v>1231</v>
      </c>
      <c r="I17" s="1" t="s">
        <v>39</v>
      </c>
      <c r="J17" s="8"/>
    </row>
    <row r="18">
      <c r="A18" s="1"/>
      <c r="C18" s="8"/>
      <c r="D18" s="8"/>
      <c r="E18" s="1" t="s">
        <v>3361</v>
      </c>
      <c r="F18" s="1" t="s">
        <v>1227</v>
      </c>
      <c r="G18" s="1" t="s">
        <v>2792</v>
      </c>
      <c r="H18" s="1" t="s">
        <v>2793</v>
      </c>
      <c r="I18" s="1" t="s">
        <v>39</v>
      </c>
      <c r="J18" s="8"/>
    </row>
    <row r="19">
      <c r="A19" s="1"/>
      <c r="C19" s="8"/>
      <c r="D19" s="8"/>
      <c r="E19" s="1" t="s">
        <v>3362</v>
      </c>
      <c r="F19" s="1" t="s">
        <v>1233</v>
      </c>
      <c r="G19" s="1" t="s">
        <v>1234</v>
      </c>
      <c r="H19" s="1" t="s">
        <v>1235</v>
      </c>
      <c r="I19" s="1" t="s">
        <v>39</v>
      </c>
      <c r="J19" s="8"/>
    </row>
    <row r="20">
      <c r="A20" s="1"/>
      <c r="C20" s="8"/>
      <c r="D20" s="8"/>
      <c r="E20" s="1" t="s">
        <v>3363</v>
      </c>
      <c r="F20" s="1" t="s">
        <v>1237</v>
      </c>
      <c r="G20" s="1" t="s">
        <v>1238</v>
      </c>
      <c r="H20" s="1" t="s">
        <v>1239</v>
      </c>
      <c r="I20" s="1" t="s">
        <v>39</v>
      </c>
      <c r="J20" s="8"/>
    </row>
    <row r="21">
      <c r="A21" s="1"/>
      <c r="C21" s="8"/>
      <c r="D21" s="8"/>
      <c r="E21" s="1"/>
      <c r="F21" s="1"/>
      <c r="G21" s="1"/>
      <c r="H21" s="1"/>
      <c r="I21" s="1"/>
      <c r="J21" s="8"/>
    </row>
    <row r="22">
      <c r="A22" s="1" t="s">
        <v>800</v>
      </c>
      <c r="B22" s="170" t="str">
        <f>IF(ISBLANK(A22),"",VLOOKUP(A22,DOI_URL!$B$1:$C$74,2,FALSE()))</f>
        <v>https://drive.google.com/file/d/1NUnV6E2ej3SpJp5Ddl-JaSV7yssMbU7o/view?usp=sharing</v>
      </c>
      <c r="C22" s="1" t="s">
        <v>3311</v>
      </c>
      <c r="D22" s="1" t="s">
        <v>3311</v>
      </c>
      <c r="E22" s="1" t="s">
        <v>802</v>
      </c>
      <c r="F22" s="1" t="s">
        <v>803</v>
      </c>
      <c r="G22" s="1" t="s">
        <v>804</v>
      </c>
      <c r="H22" s="1" t="s">
        <v>1003</v>
      </c>
      <c r="I22" s="1" t="s">
        <v>14</v>
      </c>
      <c r="J22" s="1" t="s">
        <v>806</v>
      </c>
    </row>
    <row r="23">
      <c r="A23" s="1"/>
      <c r="C23" s="8"/>
      <c r="D23" s="8"/>
      <c r="E23" s="1" t="s">
        <v>808</v>
      </c>
      <c r="F23" s="1" t="s">
        <v>809</v>
      </c>
      <c r="G23" s="1" t="s">
        <v>810</v>
      </c>
      <c r="I23" s="1" t="s">
        <v>44</v>
      </c>
      <c r="J23" s="8"/>
    </row>
    <row r="24">
      <c r="A24" s="1"/>
      <c r="C24" s="8"/>
      <c r="D24" s="8"/>
      <c r="E24" s="1" t="s">
        <v>818</v>
      </c>
      <c r="F24" s="1" t="s">
        <v>1365</v>
      </c>
      <c r="G24" s="1" t="s">
        <v>2620</v>
      </c>
      <c r="H24" s="1" t="s">
        <v>2621</v>
      </c>
      <c r="I24" s="1" t="s">
        <v>54</v>
      </c>
      <c r="J24" s="8"/>
    </row>
    <row r="25">
      <c r="A25" s="1"/>
      <c r="C25" s="8"/>
      <c r="D25" s="8"/>
      <c r="E25" s="1" t="s">
        <v>818</v>
      </c>
      <c r="F25" s="1" t="s">
        <v>822</v>
      </c>
      <c r="G25" s="1" t="s">
        <v>2623</v>
      </c>
      <c r="H25" s="1" t="s">
        <v>2624</v>
      </c>
      <c r="I25" s="1" t="s">
        <v>39</v>
      </c>
      <c r="J25" s="8"/>
    </row>
    <row r="26">
      <c r="A26" s="1"/>
      <c r="C26" s="8"/>
      <c r="D26" s="8"/>
      <c r="E26" s="1" t="s">
        <v>821</v>
      </c>
      <c r="F26" s="1" t="s">
        <v>822</v>
      </c>
      <c r="G26" s="1" t="s">
        <v>2625</v>
      </c>
      <c r="H26" s="1" t="s">
        <v>824</v>
      </c>
      <c r="I26" s="1" t="s">
        <v>39</v>
      </c>
      <c r="J26" s="8"/>
    </row>
    <row r="27">
      <c r="A27" s="1"/>
      <c r="C27" s="8"/>
      <c r="D27" s="8"/>
      <c r="I27" s="8"/>
      <c r="J27" s="8"/>
    </row>
    <row r="28">
      <c r="A28" s="1" t="s">
        <v>1240</v>
      </c>
      <c r="B28" s="170" t="str">
        <f>IF(ISBLANK(A28),"",VLOOKUP(A28,DOI_URL!$B$1:$C$74,2,FALSE()))</f>
        <v>https://drive.google.com/file/d/1C0pvlXekKVBZ5rPI2GoKpjNKOaiUzOC2/view?usp=sharing</v>
      </c>
      <c r="C28" s="1" t="s">
        <v>3311</v>
      </c>
      <c r="D28" s="1" t="s">
        <v>3311</v>
      </c>
      <c r="E28" s="1" t="s">
        <v>3364</v>
      </c>
      <c r="F28" s="1" t="s">
        <v>1254</v>
      </c>
      <c r="G28" s="1" t="s">
        <v>2806</v>
      </c>
      <c r="H28" s="1" t="s">
        <v>2807</v>
      </c>
      <c r="I28" s="1" t="s">
        <v>54</v>
      </c>
      <c r="J28" s="1" t="s">
        <v>1246</v>
      </c>
    </row>
    <row r="29">
      <c r="A29" s="1"/>
      <c r="C29" s="1"/>
      <c r="D29" s="1"/>
      <c r="E29" s="1" t="s">
        <v>3365</v>
      </c>
      <c r="F29" s="1" t="s">
        <v>2808</v>
      </c>
      <c r="G29" s="1" t="s">
        <v>2809</v>
      </c>
      <c r="H29" s="1" t="s">
        <v>2810</v>
      </c>
      <c r="I29" s="1" t="s">
        <v>54</v>
      </c>
      <c r="J29" s="8"/>
    </row>
    <row r="30">
      <c r="A30" s="1"/>
      <c r="C30" s="1"/>
      <c r="D30" s="1"/>
      <c r="E30" s="1" t="s">
        <v>3366</v>
      </c>
      <c r="F30" s="1" t="s">
        <v>1254</v>
      </c>
      <c r="G30" s="1" t="s">
        <v>1255</v>
      </c>
      <c r="I30" s="1" t="s">
        <v>20</v>
      </c>
      <c r="J30" s="8"/>
    </row>
    <row r="31">
      <c r="A31" s="1"/>
      <c r="C31" s="1"/>
      <c r="D31" s="1"/>
      <c r="E31" s="1" t="s">
        <v>3366</v>
      </c>
      <c r="F31" s="1" t="s">
        <v>1254</v>
      </c>
      <c r="G31" s="1" t="s">
        <v>1256</v>
      </c>
      <c r="H31" s="1" t="s">
        <v>1257</v>
      </c>
      <c r="I31" s="1" t="s">
        <v>54</v>
      </c>
      <c r="J31" s="8"/>
    </row>
    <row r="32">
      <c r="A32" s="1"/>
      <c r="C32" s="1"/>
      <c r="D32" s="1"/>
      <c r="E32" s="1" t="s">
        <v>3367</v>
      </c>
      <c r="F32" s="1" t="s">
        <v>503</v>
      </c>
      <c r="G32" s="1" t="s">
        <v>1260</v>
      </c>
      <c r="I32" s="1" t="s">
        <v>54</v>
      </c>
      <c r="J32" s="8"/>
    </row>
    <row r="33">
      <c r="A33" s="1"/>
      <c r="C33" s="1"/>
      <c r="D33" s="1"/>
      <c r="E33" s="1" t="s">
        <v>3368</v>
      </c>
      <c r="F33" s="1" t="s">
        <v>503</v>
      </c>
      <c r="G33" s="1" t="s">
        <v>2811</v>
      </c>
      <c r="H33" s="1" t="s">
        <v>2624</v>
      </c>
      <c r="I33" s="1" t="s">
        <v>39</v>
      </c>
      <c r="J33" s="8"/>
    </row>
    <row r="34">
      <c r="A34" s="1"/>
      <c r="C34" s="1"/>
      <c r="D34" s="1"/>
      <c r="E34" s="1" t="s">
        <v>3369</v>
      </c>
      <c r="F34" s="1" t="s">
        <v>1270</v>
      </c>
      <c r="G34" s="1" t="s">
        <v>1271</v>
      </c>
      <c r="I34" s="1" t="s">
        <v>39</v>
      </c>
      <c r="J34" s="8"/>
    </row>
    <row r="35">
      <c r="A35" s="1"/>
      <c r="C35" s="8"/>
      <c r="D35" s="8"/>
      <c r="E35" s="1" t="s">
        <v>3370</v>
      </c>
      <c r="F35" s="1" t="s">
        <v>1026</v>
      </c>
      <c r="G35" s="1" t="s">
        <v>1275</v>
      </c>
      <c r="I35" s="1" t="s">
        <v>39</v>
      </c>
      <c r="J35" s="8"/>
    </row>
    <row r="36">
      <c r="A36" s="1"/>
      <c r="C36" s="8"/>
      <c r="D36" s="8"/>
      <c r="I36" s="8"/>
      <c r="J36" s="8"/>
    </row>
    <row r="37">
      <c r="A37" s="1" t="s">
        <v>1287</v>
      </c>
      <c r="B37" s="170" t="str">
        <f>IF(ISBLANK(A37),"",VLOOKUP(A37,DOI_URL!$B$1:$C$74,2,FALSE()))</f>
        <v>https://drive.google.com/file/d/1409ImvCbGnSio2ZwVzD64XXyjXKWrvhz/view?usp=sharing</v>
      </c>
      <c r="C37" s="1" t="s">
        <v>3309</v>
      </c>
      <c r="D37" s="8"/>
      <c r="I37" s="8"/>
      <c r="J37" s="8"/>
      <c r="K37" s="1" t="s">
        <v>3371</v>
      </c>
    </row>
    <row r="38">
      <c r="A38" s="1"/>
      <c r="C38" s="8"/>
      <c r="D38" s="8"/>
      <c r="I38" s="8"/>
      <c r="J38" s="8"/>
    </row>
    <row r="39">
      <c r="A39" s="1" t="s">
        <v>825</v>
      </c>
      <c r="B39" s="170" t="str">
        <f>IF(ISBLANK(A39),"",VLOOKUP(A39,DOI_URL!$B$1:$C$74,2,FALSE()))</f>
        <v>https://drive.google.com/file/d/1n805QLSml7sZdpqFSxAHCFc6fDGwEiud/view?usp=sharing</v>
      </c>
      <c r="C39" s="1" t="s">
        <v>3311</v>
      </c>
      <c r="D39" s="8"/>
      <c r="E39" s="1" t="s">
        <v>826</v>
      </c>
      <c r="F39" s="1" t="s">
        <v>827</v>
      </c>
      <c r="G39" s="1" t="s">
        <v>828</v>
      </c>
      <c r="H39" s="1" t="s">
        <v>829</v>
      </c>
      <c r="I39" s="1" t="s">
        <v>54</v>
      </c>
      <c r="J39" s="1" t="s">
        <v>830</v>
      </c>
    </row>
    <row r="40">
      <c r="A40" s="1"/>
      <c r="C40" s="8"/>
      <c r="D40" s="8"/>
      <c r="E40" s="1" t="s">
        <v>826</v>
      </c>
      <c r="F40" s="1" t="s">
        <v>827</v>
      </c>
      <c r="G40" s="1" t="s">
        <v>832</v>
      </c>
      <c r="H40" s="1" t="s">
        <v>833</v>
      </c>
      <c r="I40" s="1" t="s">
        <v>44</v>
      </c>
      <c r="J40" s="8"/>
    </row>
    <row r="41">
      <c r="A41" s="1"/>
      <c r="C41" s="8"/>
      <c r="D41" s="8"/>
      <c r="E41" s="1" t="s">
        <v>835</v>
      </c>
      <c r="F41" s="1" t="s">
        <v>2632</v>
      </c>
      <c r="G41" s="1" t="s">
        <v>837</v>
      </c>
      <c r="H41" s="1" t="s">
        <v>838</v>
      </c>
      <c r="I41" s="1" t="s">
        <v>14</v>
      </c>
      <c r="J41" s="8"/>
    </row>
    <row r="42">
      <c r="A42" s="1"/>
      <c r="C42" s="8"/>
      <c r="D42" s="8"/>
      <c r="J42" s="8"/>
    </row>
    <row r="43">
      <c r="A43" s="1" t="s">
        <v>1288</v>
      </c>
      <c r="B43" s="170" t="str">
        <f>IF(ISBLANK(A43),"",VLOOKUP(A43,DOI_URL!$B$1:$C$74,2,FALSE()))</f>
        <v>https://drive.google.com/file/d/1uk3b4qpFkIvGMiBObtGDGsDsaLQWu7lE/view?usp=sharing</v>
      </c>
      <c r="C43" s="1" t="s">
        <v>3309</v>
      </c>
      <c r="D43" s="8"/>
      <c r="I43" s="8"/>
      <c r="J43" s="8"/>
      <c r="K43" s="1" t="s">
        <v>3372</v>
      </c>
    </row>
    <row r="44">
      <c r="A44" s="1"/>
      <c r="C44" s="8"/>
      <c r="D44" s="8"/>
      <c r="I44" s="8"/>
      <c r="J44" s="8"/>
    </row>
    <row r="45">
      <c r="A45" s="1" t="s">
        <v>1153</v>
      </c>
      <c r="B45" s="170" t="str">
        <f>IF(ISBLANK(A45),"",VLOOKUP(A45,DOI_URL!$B$1:$C$74,2,FALSE()))</f>
        <v>https://drive.google.com/file/d/10PvC07Bl2W102JPrz3lDxShSHvHkjsAq/view?usp=sharing</v>
      </c>
      <c r="C45" s="1" t="s">
        <v>3309</v>
      </c>
      <c r="D45" s="8"/>
      <c r="I45" s="8"/>
      <c r="J45" s="8"/>
      <c r="K45" s="1" t="s">
        <v>3372</v>
      </c>
    </row>
    <row r="46">
      <c r="A46" s="1"/>
      <c r="C46" s="8"/>
      <c r="D46" s="8"/>
      <c r="I46" s="8"/>
      <c r="J46" s="8"/>
    </row>
    <row r="47">
      <c r="A47" s="1" t="s">
        <v>1901</v>
      </c>
      <c r="B47" s="170" t="str">
        <f>IF(ISBLANK(A47),"",VLOOKUP(A47,DOI_URL!$B$1:$C$74,2,FALSE()))</f>
        <v>https://drive.google.com/file/d/1Y1OQI3P21GvJPl17uBvMJXKeFU-SR0wk/view?usp=sharing</v>
      </c>
      <c r="C47" s="1" t="s">
        <v>3311</v>
      </c>
      <c r="D47" s="1" t="s">
        <v>3311</v>
      </c>
      <c r="E47" s="1" t="s">
        <v>3127</v>
      </c>
      <c r="F47" s="1" t="s">
        <v>11</v>
      </c>
      <c r="G47" s="1" t="s">
        <v>1912</v>
      </c>
      <c r="H47" s="1" t="s">
        <v>3128</v>
      </c>
      <c r="I47" s="1" t="s">
        <v>14</v>
      </c>
      <c r="J47" s="1" t="s">
        <v>806</v>
      </c>
    </row>
    <row r="48">
      <c r="A48" s="1"/>
      <c r="C48" s="1"/>
      <c r="D48" s="1"/>
      <c r="E48" s="1" t="s">
        <v>3130</v>
      </c>
      <c r="F48" s="1" t="s">
        <v>3131</v>
      </c>
      <c r="G48" s="1" t="s">
        <v>1915</v>
      </c>
      <c r="H48" s="1" t="s">
        <v>1916</v>
      </c>
      <c r="I48" s="1" t="s">
        <v>20</v>
      </c>
      <c r="J48" s="1"/>
    </row>
    <row r="49">
      <c r="A49" s="1"/>
      <c r="C49" s="1"/>
      <c r="D49" s="1"/>
      <c r="E49" s="1" t="s">
        <v>3130</v>
      </c>
      <c r="F49" s="1" t="s">
        <v>3131</v>
      </c>
      <c r="G49" s="1" t="s">
        <v>1917</v>
      </c>
      <c r="H49" s="1" t="s">
        <v>1918</v>
      </c>
      <c r="I49" s="1" t="s">
        <v>20</v>
      </c>
      <c r="J49" s="1"/>
    </row>
    <row r="50">
      <c r="A50" s="1"/>
      <c r="C50" s="1"/>
      <c r="D50" s="1"/>
      <c r="E50" s="1" t="s">
        <v>3132</v>
      </c>
      <c r="F50" s="1" t="s">
        <v>1921</v>
      </c>
      <c r="G50" s="1" t="s">
        <v>1922</v>
      </c>
      <c r="H50" s="1" t="s">
        <v>1923</v>
      </c>
      <c r="I50" s="1" t="s">
        <v>14</v>
      </c>
      <c r="J50" s="1"/>
    </row>
    <row r="51">
      <c r="A51" s="1"/>
      <c r="C51" s="8"/>
      <c r="D51" s="8"/>
      <c r="E51" s="1" t="s">
        <v>3133</v>
      </c>
      <c r="F51" s="1" t="s">
        <v>3057</v>
      </c>
      <c r="G51" s="1" t="s">
        <v>3134</v>
      </c>
      <c r="H51" s="1" t="s">
        <v>3135</v>
      </c>
      <c r="I51" s="1" t="s">
        <v>54</v>
      </c>
      <c r="J51" s="8"/>
    </row>
    <row r="52">
      <c r="A52" s="1"/>
      <c r="C52" s="8"/>
      <c r="D52" s="8"/>
      <c r="E52" s="1" t="s">
        <v>3133</v>
      </c>
      <c r="F52" s="1" t="s">
        <v>3136</v>
      </c>
      <c r="G52" s="1" t="s">
        <v>3137</v>
      </c>
      <c r="H52" s="1" t="s">
        <v>3138</v>
      </c>
      <c r="I52" s="1" t="s">
        <v>14</v>
      </c>
      <c r="J52" s="8"/>
    </row>
    <row r="53">
      <c r="A53" s="1"/>
      <c r="C53" s="8"/>
      <c r="D53" s="8"/>
      <c r="E53" s="1" t="s">
        <v>3139</v>
      </c>
      <c r="F53" s="1" t="s">
        <v>1935</v>
      </c>
      <c r="G53" s="1" t="s">
        <v>1929</v>
      </c>
      <c r="H53" s="1" t="s">
        <v>1930</v>
      </c>
      <c r="I53" s="1" t="s">
        <v>39</v>
      </c>
      <c r="J53" s="8"/>
    </row>
    <row r="54">
      <c r="A54" s="1"/>
      <c r="C54" s="8"/>
      <c r="D54" s="8"/>
      <c r="E54" s="1" t="s">
        <v>3143</v>
      </c>
      <c r="F54" s="1" t="s">
        <v>1935</v>
      </c>
      <c r="G54" s="1" t="s">
        <v>1936</v>
      </c>
      <c r="H54" s="1" t="s">
        <v>1937</v>
      </c>
      <c r="I54" s="1" t="s">
        <v>39</v>
      </c>
      <c r="J54" s="8"/>
    </row>
    <row r="55">
      <c r="A55" s="1"/>
      <c r="C55" s="8"/>
      <c r="D55" s="8"/>
      <c r="E55" s="1" t="s">
        <v>3144</v>
      </c>
      <c r="F55" s="1" t="s">
        <v>1935</v>
      </c>
      <c r="G55" s="1" t="s">
        <v>3145</v>
      </c>
      <c r="H55" s="1" t="s">
        <v>3146</v>
      </c>
      <c r="I55" s="1" t="s">
        <v>54</v>
      </c>
      <c r="J55" s="8"/>
    </row>
    <row r="56">
      <c r="A56" s="1"/>
      <c r="C56" s="8"/>
      <c r="D56" s="8"/>
      <c r="E56" s="1" t="s">
        <v>1947</v>
      </c>
      <c r="F56" s="1" t="s">
        <v>1944</v>
      </c>
      <c r="G56" s="1" t="s">
        <v>3147</v>
      </c>
      <c r="H56" s="1" t="s">
        <v>1946</v>
      </c>
      <c r="I56" s="1" t="s">
        <v>39</v>
      </c>
      <c r="J56" s="8"/>
    </row>
    <row r="57">
      <c r="A57" s="1"/>
      <c r="C57" s="8"/>
      <c r="D57" s="8"/>
      <c r="E57" s="1" t="s">
        <v>1947</v>
      </c>
      <c r="F57" s="1" t="s">
        <v>1944</v>
      </c>
      <c r="G57" s="1" t="s">
        <v>1948</v>
      </c>
      <c r="H57" s="1" t="s">
        <v>3148</v>
      </c>
      <c r="I57" s="1" t="s">
        <v>39</v>
      </c>
      <c r="J57" s="8"/>
    </row>
    <row r="58">
      <c r="A58" s="1"/>
      <c r="C58" s="8"/>
      <c r="D58" s="8"/>
      <c r="E58" s="1" t="s">
        <v>3149</v>
      </c>
      <c r="F58" s="1" t="s">
        <v>1944</v>
      </c>
      <c r="G58" s="1" t="s">
        <v>3150</v>
      </c>
      <c r="H58" s="1" t="s">
        <v>3151</v>
      </c>
      <c r="I58" s="1" t="s">
        <v>39</v>
      </c>
      <c r="J58" s="8"/>
    </row>
    <row r="59">
      <c r="A59" s="1"/>
      <c r="C59" s="8"/>
      <c r="D59" s="8"/>
      <c r="E59" s="1"/>
      <c r="F59" s="1"/>
      <c r="H59" s="1"/>
      <c r="I59" s="1"/>
      <c r="J59" s="8"/>
    </row>
    <row r="60">
      <c r="A60" s="1" t="s">
        <v>1289</v>
      </c>
      <c r="B60" s="170" t="str">
        <f>IF(ISBLANK(A60),"",VLOOKUP(A60,DOI_URL!$B$1:$C$74,2,FALSE()))</f>
        <v>https://drive.google.com/file/d/1HocRZd0etZTgQwmnCrUYVDlF_XsJJBuy/view?usp=sharing</v>
      </c>
      <c r="C60" s="1" t="s">
        <v>3309</v>
      </c>
      <c r="D60" s="1"/>
      <c r="I60" s="8"/>
      <c r="J60" s="8"/>
    </row>
    <row r="61">
      <c r="A61" s="1"/>
      <c r="C61" s="8"/>
      <c r="D61" s="8"/>
      <c r="I61" s="8"/>
      <c r="J61" s="8"/>
      <c r="K61" s="1" t="s">
        <v>3373</v>
      </c>
    </row>
    <row r="62">
      <c r="A62" s="1" t="s">
        <v>2203</v>
      </c>
      <c r="B62" s="170" t="str">
        <f>IF(ISBLANK(A62),"",VLOOKUP(A62,DOI_URL!$B$1:$C$74,2,FALSE()))</f>
        <v>https://drive.google.com/file/d/1HGBrJ57s3yFehUjGpy7PmHiO0xmOq2E5/view?usp=sharing</v>
      </c>
      <c r="C62" s="1" t="s">
        <v>3311</v>
      </c>
      <c r="D62" s="1" t="s">
        <v>3311</v>
      </c>
      <c r="E62" s="1" t="s">
        <v>3374</v>
      </c>
      <c r="F62" s="1" t="s">
        <v>2825</v>
      </c>
      <c r="G62" s="1" t="s">
        <v>2826</v>
      </c>
      <c r="H62" s="1" t="s">
        <v>2827</v>
      </c>
      <c r="I62" s="1" t="s">
        <v>54</v>
      </c>
      <c r="J62" s="1" t="s">
        <v>1780</v>
      </c>
    </row>
    <row r="63">
      <c r="A63" s="1"/>
      <c r="C63" s="1"/>
      <c r="D63" s="8"/>
      <c r="E63" s="1" t="s">
        <v>3375</v>
      </c>
      <c r="F63" s="1" t="s">
        <v>748</v>
      </c>
      <c r="G63" s="1" t="s">
        <v>2831</v>
      </c>
      <c r="I63" s="1" t="s">
        <v>39</v>
      </c>
      <c r="J63" s="1"/>
    </row>
    <row r="64">
      <c r="A64" s="1"/>
      <c r="C64" s="1"/>
      <c r="D64" s="8"/>
      <c r="E64" s="1" t="s">
        <v>3376</v>
      </c>
      <c r="F64" s="1" t="s">
        <v>748</v>
      </c>
      <c r="G64" s="1" t="s">
        <v>2833</v>
      </c>
      <c r="H64" s="1" t="s">
        <v>2834</v>
      </c>
      <c r="I64" s="1" t="s">
        <v>39</v>
      </c>
      <c r="J64" s="1"/>
    </row>
    <row r="65">
      <c r="A65" s="1"/>
      <c r="C65" s="1"/>
      <c r="D65" s="8"/>
      <c r="I65" s="8"/>
      <c r="J65" s="1"/>
    </row>
    <row r="66">
      <c r="A66" s="1" t="s">
        <v>1113</v>
      </c>
      <c r="B66" s="170" t="str">
        <f>IF(ISBLANK(A66),"",VLOOKUP(A66,DOI_URL!$B$1:$C$74,2,FALSE()))</f>
        <v>https://drive.google.com/file/d/1g58hXK85C9yPm1N_LSQATizTtufwy3cS/view?usp=sharing</v>
      </c>
      <c r="C66" s="1" t="s">
        <v>3311</v>
      </c>
      <c r="D66" s="1" t="s">
        <v>3311</v>
      </c>
      <c r="E66" s="1" t="s">
        <v>3377</v>
      </c>
      <c r="F66" s="1" t="s">
        <v>503</v>
      </c>
      <c r="G66" s="1" t="s">
        <v>2752</v>
      </c>
      <c r="H66" s="1" t="s">
        <v>2753</v>
      </c>
      <c r="I66" s="1" t="s">
        <v>54</v>
      </c>
      <c r="J66" s="1" t="s">
        <v>1118</v>
      </c>
    </row>
    <row r="67">
      <c r="A67" s="1"/>
      <c r="C67" s="8"/>
      <c r="D67" s="8"/>
      <c r="E67" s="1" t="s">
        <v>3378</v>
      </c>
      <c r="F67" s="1" t="s">
        <v>503</v>
      </c>
      <c r="G67" s="1" t="s">
        <v>2754</v>
      </c>
      <c r="H67" s="1" t="s">
        <v>1126</v>
      </c>
      <c r="I67" s="1" t="s">
        <v>54</v>
      </c>
      <c r="J67" s="8"/>
    </row>
    <row r="68">
      <c r="A68" s="1"/>
      <c r="C68" s="8"/>
      <c r="D68" s="8"/>
      <c r="E68" s="1" t="s">
        <v>3379</v>
      </c>
      <c r="F68" s="1" t="s">
        <v>2757</v>
      </c>
      <c r="G68" s="1" t="s">
        <v>2758</v>
      </c>
      <c r="H68" s="1" t="s">
        <v>2759</v>
      </c>
      <c r="I68" s="1" t="s">
        <v>44</v>
      </c>
      <c r="J68" s="8"/>
    </row>
    <row r="69">
      <c r="A69" s="1"/>
      <c r="C69" s="8"/>
      <c r="D69" s="8"/>
      <c r="E69" s="1" t="s">
        <v>3380</v>
      </c>
      <c r="F69" s="1" t="s">
        <v>1133</v>
      </c>
      <c r="G69" s="1" t="s">
        <v>1134</v>
      </c>
      <c r="H69" s="1" t="s">
        <v>1135</v>
      </c>
      <c r="I69" s="1" t="s">
        <v>20</v>
      </c>
      <c r="J69" s="8"/>
    </row>
    <row r="70">
      <c r="A70" s="1"/>
      <c r="C70" s="8"/>
      <c r="D70" s="8"/>
      <c r="E70" s="1" t="s">
        <v>3380</v>
      </c>
      <c r="F70" s="1" t="s">
        <v>1133</v>
      </c>
      <c r="G70" s="1" t="s">
        <v>1137</v>
      </c>
      <c r="H70" s="1"/>
      <c r="I70" s="1" t="s">
        <v>20</v>
      </c>
      <c r="J70" s="8"/>
    </row>
    <row r="71">
      <c r="A71" s="1"/>
      <c r="C71" s="8"/>
      <c r="D71" s="8"/>
      <c r="E71" s="1" t="s">
        <v>3380</v>
      </c>
      <c r="F71" s="1" t="s">
        <v>1133</v>
      </c>
      <c r="G71" s="1" t="s">
        <v>1139</v>
      </c>
      <c r="H71" s="1"/>
      <c r="I71" s="1" t="s">
        <v>20</v>
      </c>
      <c r="J71" s="8"/>
    </row>
    <row r="72">
      <c r="A72" s="1"/>
      <c r="C72" s="8"/>
      <c r="D72" s="8"/>
      <c r="E72" s="1" t="s">
        <v>3381</v>
      </c>
      <c r="F72" s="1" t="s">
        <v>1133</v>
      </c>
      <c r="G72" s="1" t="s">
        <v>1141</v>
      </c>
      <c r="H72" s="1"/>
      <c r="I72" s="1" t="s">
        <v>20</v>
      </c>
      <c r="J72" s="8"/>
    </row>
    <row r="73">
      <c r="A73" s="1"/>
      <c r="C73" s="8"/>
      <c r="D73" s="8"/>
      <c r="E73" s="1" t="s">
        <v>3382</v>
      </c>
      <c r="F73" s="1" t="s">
        <v>748</v>
      </c>
      <c r="G73" s="1" t="s">
        <v>1121</v>
      </c>
      <c r="H73" s="1" t="s">
        <v>1122</v>
      </c>
      <c r="I73" s="1" t="s">
        <v>39</v>
      </c>
      <c r="J73" s="8"/>
    </row>
    <row r="74">
      <c r="A74" s="1"/>
      <c r="C74" s="8"/>
      <c r="D74" s="8"/>
      <c r="E74" s="1" t="s">
        <v>3383</v>
      </c>
      <c r="F74" s="1" t="s">
        <v>748</v>
      </c>
      <c r="G74" s="1" t="s">
        <v>1148</v>
      </c>
      <c r="H74" s="1" t="s">
        <v>2624</v>
      </c>
      <c r="I74" s="1" t="s">
        <v>39</v>
      </c>
      <c r="J74" s="8"/>
    </row>
    <row r="75">
      <c r="A75" s="1"/>
      <c r="C75" s="8"/>
      <c r="D75" s="8"/>
      <c r="E75" s="1" t="s">
        <v>3384</v>
      </c>
      <c r="F75" s="1" t="s">
        <v>748</v>
      </c>
      <c r="G75" s="1" t="s">
        <v>1146</v>
      </c>
      <c r="H75" s="1"/>
      <c r="I75" s="1" t="s">
        <v>39</v>
      </c>
      <c r="J75" s="8"/>
    </row>
    <row r="76">
      <c r="A76" s="1"/>
      <c r="C76" s="8"/>
      <c r="D76" s="8"/>
      <c r="E76" s="1" t="s">
        <v>3384</v>
      </c>
      <c r="F76" s="1" t="s">
        <v>503</v>
      </c>
      <c r="G76" s="1" t="s">
        <v>2755</v>
      </c>
      <c r="H76" s="1"/>
      <c r="I76" s="1" t="s">
        <v>54</v>
      </c>
      <c r="J76" s="8"/>
    </row>
    <row r="77">
      <c r="A77" s="1"/>
      <c r="C77" s="8"/>
      <c r="D77" s="8"/>
      <c r="E77" s="1" t="s">
        <v>3384</v>
      </c>
      <c r="F77" s="1" t="s">
        <v>503</v>
      </c>
      <c r="G77" s="1" t="s">
        <v>2760</v>
      </c>
      <c r="H77" s="1"/>
      <c r="I77" s="1" t="s">
        <v>54</v>
      </c>
      <c r="J77" s="8"/>
    </row>
    <row r="78">
      <c r="A78" s="1"/>
      <c r="C78" s="8"/>
      <c r="D78" s="8"/>
      <c r="E78" s="1"/>
      <c r="F78" s="1"/>
      <c r="G78" s="1"/>
      <c r="H78" s="1"/>
      <c r="I78" s="1"/>
      <c r="J78" s="8"/>
    </row>
    <row r="79">
      <c r="A79" s="1" t="s">
        <v>986</v>
      </c>
      <c r="B79" s="170" t="str">
        <f>IF(ISBLANK(A79),"",VLOOKUP(A79,DOI_URL!$B$1:$C$74,2,FALSE()))</f>
        <v>https://drive.google.com/file/d/1F1Kd_joBZStJrlvjXvXBS3_dfyUR5vgX/view?usp=sharing</v>
      </c>
      <c r="C79" s="1" t="s">
        <v>3311</v>
      </c>
      <c r="D79" s="1" t="s">
        <v>3311</v>
      </c>
      <c r="E79" s="1" t="s">
        <v>3385</v>
      </c>
      <c r="F79" s="1" t="s">
        <v>996</v>
      </c>
      <c r="G79" s="1" t="s">
        <v>1006</v>
      </c>
      <c r="I79" s="1" t="s">
        <v>14</v>
      </c>
      <c r="J79" s="1" t="s">
        <v>990</v>
      </c>
      <c r="K79" s="1" t="s">
        <v>3386</v>
      </c>
    </row>
    <row r="80">
      <c r="A80" s="1"/>
      <c r="C80" s="8"/>
      <c r="D80" s="8"/>
      <c r="E80" s="1" t="s">
        <v>3385</v>
      </c>
      <c r="F80" s="1" t="s">
        <v>996</v>
      </c>
      <c r="G80" s="1" t="s">
        <v>1000</v>
      </c>
      <c r="H80" s="1" t="s">
        <v>1001</v>
      </c>
      <c r="I80" s="1" t="s">
        <v>14</v>
      </c>
      <c r="J80" s="8"/>
    </row>
    <row r="81">
      <c r="A81" s="1"/>
      <c r="C81" s="8"/>
      <c r="D81" s="8"/>
      <c r="E81" s="1" t="s">
        <v>3385</v>
      </c>
      <c r="F81" s="1" t="s">
        <v>996</v>
      </c>
      <c r="G81" s="1" t="s">
        <v>997</v>
      </c>
      <c r="H81" s="1" t="s">
        <v>998</v>
      </c>
      <c r="I81" s="1" t="s">
        <v>14</v>
      </c>
      <c r="J81" s="8"/>
    </row>
    <row r="82">
      <c r="A82" s="1"/>
      <c r="C82" s="8"/>
      <c r="D82" s="8"/>
      <c r="E82" s="1" t="s">
        <v>3385</v>
      </c>
      <c r="F82" s="1" t="s">
        <v>1003</v>
      </c>
      <c r="G82" s="1" t="s">
        <v>1004</v>
      </c>
      <c r="H82" s="1" t="s">
        <v>1005</v>
      </c>
      <c r="I82" s="1" t="s">
        <v>54</v>
      </c>
      <c r="J82" s="8"/>
    </row>
    <row r="83">
      <c r="A83" s="1"/>
      <c r="C83" s="8"/>
      <c r="D83" s="8"/>
      <c r="E83" s="1" t="s">
        <v>3387</v>
      </c>
      <c r="F83" s="1" t="s">
        <v>996</v>
      </c>
      <c r="G83" s="1" t="s">
        <v>1015</v>
      </c>
      <c r="H83" s="1" t="s">
        <v>1016</v>
      </c>
      <c r="I83" s="1" t="s">
        <v>20</v>
      </c>
      <c r="J83" s="8"/>
    </row>
    <row r="84">
      <c r="A84" s="1"/>
      <c r="C84" s="8"/>
      <c r="D84" s="8"/>
      <c r="E84" s="1" t="s">
        <v>3387</v>
      </c>
      <c r="F84" s="1" t="s">
        <v>996</v>
      </c>
      <c r="G84" s="1" t="s">
        <v>1017</v>
      </c>
      <c r="H84" s="1" t="s">
        <v>1011</v>
      </c>
      <c r="I84" s="1" t="s">
        <v>20</v>
      </c>
      <c r="J84" s="8"/>
    </row>
    <row r="85">
      <c r="A85" s="1"/>
      <c r="C85" s="8"/>
      <c r="D85" s="8"/>
      <c r="E85" s="1" t="s">
        <v>3387</v>
      </c>
      <c r="F85" s="1" t="s">
        <v>996</v>
      </c>
      <c r="G85" s="1" t="s">
        <v>2690</v>
      </c>
      <c r="H85" s="1" t="s">
        <v>1011</v>
      </c>
      <c r="I85" s="1" t="s">
        <v>20</v>
      </c>
      <c r="J85" s="8"/>
    </row>
    <row r="86">
      <c r="A86" s="1"/>
      <c r="C86" s="8"/>
      <c r="D86" s="8"/>
      <c r="E86" s="1" t="s">
        <v>3388</v>
      </c>
      <c r="F86" s="1" t="s">
        <v>1026</v>
      </c>
      <c r="G86" s="1" t="s">
        <v>933</v>
      </c>
      <c r="H86" s="1"/>
      <c r="I86" s="1" t="s">
        <v>39</v>
      </c>
      <c r="J86" s="8"/>
    </row>
    <row r="87">
      <c r="A87" s="1"/>
      <c r="C87" s="8"/>
      <c r="D87" s="8"/>
      <c r="E87" s="1" t="s">
        <v>3388</v>
      </c>
      <c r="F87" s="1" t="s">
        <v>2691</v>
      </c>
      <c r="G87" s="1" t="s">
        <v>2692</v>
      </c>
      <c r="H87" s="1"/>
      <c r="I87" s="1" t="s">
        <v>54</v>
      </c>
      <c r="J87" s="8"/>
    </row>
    <row r="88">
      <c r="A88" s="1"/>
      <c r="C88" s="8"/>
      <c r="D88" s="8"/>
      <c r="E88" s="1" t="s">
        <v>3388</v>
      </c>
      <c r="F88" s="1" t="s">
        <v>1026</v>
      </c>
      <c r="G88" s="1" t="s">
        <v>1029</v>
      </c>
      <c r="H88" s="1"/>
      <c r="I88" s="1" t="s">
        <v>39</v>
      </c>
      <c r="J88" s="8"/>
    </row>
    <row r="89">
      <c r="A89" s="1"/>
      <c r="C89" s="8"/>
      <c r="D89" s="8"/>
      <c r="E89" s="1"/>
      <c r="F89" s="1"/>
      <c r="G89" s="1"/>
      <c r="H89" s="1"/>
      <c r="I89" s="1"/>
      <c r="J89" s="8"/>
    </row>
    <row r="90">
      <c r="A90" s="1" t="s">
        <v>799</v>
      </c>
      <c r="B90" s="170" t="str">
        <f>IF(ISBLANK(A90),"",VLOOKUP(A90,DOI_URL!$B$1:$C$74,2,FALSE()))</f>
        <v>https://drive.google.com/file/d/1ZA_NYX0fbBrmwcJo4XuxvPhxOyLBWcMZ/view?usp=sharing</v>
      </c>
      <c r="C90" s="1" t="s">
        <v>3309</v>
      </c>
      <c r="D90" s="8"/>
      <c r="I90" s="8"/>
      <c r="J90" s="8"/>
      <c r="K90" s="1" t="s">
        <v>3389</v>
      </c>
    </row>
    <row r="91">
      <c r="A91" s="1"/>
      <c r="C91" s="8"/>
      <c r="D91" s="8"/>
      <c r="I91" s="8"/>
      <c r="J91" s="8"/>
    </row>
    <row r="92">
      <c r="A92" s="1" t="s">
        <v>722</v>
      </c>
      <c r="B92" s="170" t="str">
        <f>IF(ISBLANK(A92),"",VLOOKUP(A92,DOI_URL!$B$1:$C$74,2,FALSE()))</f>
        <v>https://drive.google.com/file/d/1l7zORouaPHPaymAPFvkEtL2_Mqu3aoMm/view?usp=sharing</v>
      </c>
      <c r="C92" s="1" t="s">
        <v>3311</v>
      </c>
      <c r="D92" s="1" t="s">
        <v>3311</v>
      </c>
      <c r="E92" s="1" t="s">
        <v>724</v>
      </c>
      <c r="F92" s="1" t="s">
        <v>503</v>
      </c>
      <c r="G92" s="1" t="s">
        <v>2573</v>
      </c>
      <c r="H92" s="1" t="s">
        <v>2574</v>
      </c>
      <c r="I92" s="1" t="s">
        <v>39</v>
      </c>
      <c r="J92" s="1" t="s">
        <v>3064</v>
      </c>
    </row>
    <row r="93">
      <c r="A93" s="1"/>
      <c r="C93" s="8"/>
      <c r="D93" s="8"/>
      <c r="E93" s="1" t="s">
        <v>730</v>
      </c>
      <c r="F93" s="1" t="s">
        <v>503</v>
      </c>
      <c r="G93" s="1" t="s">
        <v>2575</v>
      </c>
      <c r="H93" s="1" t="s">
        <v>2576</v>
      </c>
      <c r="I93" s="1" t="s">
        <v>54</v>
      </c>
      <c r="J93" s="8"/>
    </row>
    <row r="94">
      <c r="A94" s="1"/>
      <c r="C94" s="8"/>
      <c r="D94" s="8"/>
      <c r="E94" s="1" t="s">
        <v>734</v>
      </c>
      <c r="F94" s="1" t="s">
        <v>503</v>
      </c>
      <c r="G94" s="1" t="s">
        <v>735</v>
      </c>
      <c r="H94" s="1" t="s">
        <v>2579</v>
      </c>
      <c r="I94" s="1" t="s">
        <v>54</v>
      </c>
      <c r="J94" s="8"/>
    </row>
    <row r="95">
      <c r="A95" s="1"/>
      <c r="C95" s="8"/>
      <c r="D95" s="8"/>
      <c r="E95" s="1" t="s">
        <v>738</v>
      </c>
      <c r="F95" s="1" t="s">
        <v>739</v>
      </c>
      <c r="G95" s="1" t="s">
        <v>740</v>
      </c>
      <c r="H95" s="1" t="s">
        <v>2581</v>
      </c>
      <c r="I95" s="1" t="s">
        <v>44</v>
      </c>
      <c r="J95" s="8"/>
    </row>
    <row r="96">
      <c r="A96" s="1"/>
      <c r="C96" s="8"/>
      <c r="D96" s="8"/>
      <c r="E96" s="1" t="s">
        <v>738</v>
      </c>
      <c r="F96" s="1" t="s">
        <v>743</v>
      </c>
      <c r="G96" s="1" t="s">
        <v>744</v>
      </c>
      <c r="H96" s="1"/>
      <c r="I96" s="1" t="s">
        <v>39</v>
      </c>
      <c r="J96" s="8"/>
    </row>
    <row r="97">
      <c r="A97" s="1"/>
      <c r="C97" s="8"/>
      <c r="D97" s="8"/>
      <c r="E97" s="1" t="s">
        <v>747</v>
      </c>
      <c r="F97" s="1" t="s">
        <v>748</v>
      </c>
      <c r="G97" s="1" t="s">
        <v>2585</v>
      </c>
      <c r="H97" s="1" t="s">
        <v>2586</v>
      </c>
      <c r="I97" s="1" t="s">
        <v>39</v>
      </c>
      <c r="J97" s="8"/>
    </row>
    <row r="98">
      <c r="A98" s="1"/>
      <c r="C98" s="8"/>
      <c r="D98" s="8"/>
      <c r="E98" s="1" t="s">
        <v>747</v>
      </c>
      <c r="F98" s="1" t="s">
        <v>748</v>
      </c>
      <c r="G98" s="1" t="s">
        <v>2587</v>
      </c>
      <c r="H98" s="1" t="s">
        <v>2588</v>
      </c>
      <c r="I98" s="1" t="s">
        <v>39</v>
      </c>
      <c r="J98" s="8"/>
    </row>
    <row r="99">
      <c r="A99" s="1"/>
      <c r="C99" s="8"/>
      <c r="D99" s="8"/>
      <c r="E99" s="1" t="s">
        <v>755</v>
      </c>
      <c r="F99" s="1" t="s">
        <v>739</v>
      </c>
      <c r="G99" s="1" t="s">
        <v>756</v>
      </c>
      <c r="H99" s="1" t="s">
        <v>757</v>
      </c>
      <c r="I99" s="1" t="s">
        <v>39</v>
      </c>
      <c r="J99" s="8"/>
    </row>
    <row r="100">
      <c r="A100" s="1"/>
      <c r="C100" s="8"/>
      <c r="D100" s="8"/>
      <c r="E100" s="1" t="s">
        <v>764</v>
      </c>
      <c r="F100" s="1" t="s">
        <v>765</v>
      </c>
      <c r="G100" s="1" t="s">
        <v>766</v>
      </c>
      <c r="H100" s="1" t="s">
        <v>767</v>
      </c>
      <c r="I100" s="1" t="s">
        <v>39</v>
      </c>
      <c r="J100" s="8"/>
    </row>
    <row r="101">
      <c r="A101" s="1"/>
      <c r="C101" s="8"/>
      <c r="D101" s="8"/>
      <c r="E101" s="1" t="s">
        <v>769</v>
      </c>
      <c r="F101" s="1" t="s">
        <v>770</v>
      </c>
      <c r="G101" s="1" t="s">
        <v>2591</v>
      </c>
      <c r="H101" s="1" t="s">
        <v>2592</v>
      </c>
      <c r="I101" s="1" t="s">
        <v>39</v>
      </c>
      <c r="J101" s="8"/>
    </row>
    <row r="102">
      <c r="A102" s="1"/>
      <c r="C102" s="8"/>
      <c r="D102" s="8"/>
      <c r="E102" s="1" t="s">
        <v>769</v>
      </c>
      <c r="F102" s="1" t="s">
        <v>770</v>
      </c>
      <c r="G102" s="1" t="s">
        <v>771</v>
      </c>
      <c r="H102" s="1" t="s">
        <v>772</v>
      </c>
      <c r="I102" s="1" t="s">
        <v>39</v>
      </c>
      <c r="J102" s="8"/>
    </row>
    <row r="103">
      <c r="A103" s="1"/>
      <c r="C103" s="8"/>
      <c r="D103" s="8"/>
      <c r="I103" s="8"/>
      <c r="J103" s="8"/>
    </row>
    <row r="104">
      <c r="A104" s="1" t="s">
        <v>1300</v>
      </c>
      <c r="B104" s="170" t="str">
        <f>IF(ISBLANK(A104),"",VLOOKUP(A104,DOI_URL!$B$1:$C$74,2,FALSE()))</f>
        <v>https://drive.google.com/file/d/1gtlaXSsNg5pEpQ0ZyxrJHb-7vERCEhzC/view?usp=sharing</v>
      </c>
      <c r="C104" s="1" t="s">
        <v>3311</v>
      </c>
      <c r="D104" s="1" t="s">
        <v>3311</v>
      </c>
      <c r="E104" s="1" t="s">
        <v>3390</v>
      </c>
      <c r="F104" s="1" t="s">
        <v>2846</v>
      </c>
      <c r="G104" s="1" t="s">
        <v>2847</v>
      </c>
      <c r="H104" s="1" t="s">
        <v>2848</v>
      </c>
      <c r="I104" s="1" t="s">
        <v>44</v>
      </c>
      <c r="J104" s="1" t="s">
        <v>2849</v>
      </c>
      <c r="K104" s="1" t="s">
        <v>3391</v>
      </c>
    </row>
    <row r="105">
      <c r="A105" s="1"/>
      <c r="C105" s="1"/>
      <c r="D105" s="1"/>
      <c r="E105" s="1" t="s">
        <v>3392</v>
      </c>
      <c r="F105" s="1" t="s">
        <v>2852</v>
      </c>
      <c r="G105" s="1" t="s">
        <v>2853</v>
      </c>
      <c r="I105" s="1" t="s">
        <v>14</v>
      </c>
      <c r="J105" s="8"/>
    </row>
    <row r="106">
      <c r="A106" s="1"/>
      <c r="C106" s="1"/>
      <c r="D106" s="1"/>
      <c r="E106" s="1" t="s">
        <v>3393</v>
      </c>
      <c r="F106" s="55" t="s">
        <v>1311</v>
      </c>
      <c r="G106" s="1" t="s">
        <v>2856</v>
      </c>
      <c r="H106" s="1" t="s">
        <v>1313</v>
      </c>
      <c r="I106" s="1" t="s">
        <v>20</v>
      </c>
      <c r="J106" s="8"/>
    </row>
    <row r="107">
      <c r="A107" s="1"/>
      <c r="C107" s="1"/>
      <c r="D107" s="1"/>
      <c r="E107" s="1" t="s">
        <v>3393</v>
      </c>
      <c r="F107" s="55" t="s">
        <v>1311</v>
      </c>
      <c r="G107" s="1" t="s">
        <v>1314</v>
      </c>
      <c r="H107" s="1" t="s">
        <v>1315</v>
      </c>
      <c r="I107" s="1" t="s">
        <v>20</v>
      </c>
      <c r="J107" s="8"/>
    </row>
    <row r="108">
      <c r="A108" s="1"/>
      <c r="C108" s="8"/>
      <c r="D108" s="8"/>
      <c r="E108" s="1" t="s">
        <v>3393</v>
      </c>
      <c r="F108" s="55" t="s">
        <v>1311</v>
      </c>
      <c r="G108" s="1" t="s">
        <v>1316</v>
      </c>
      <c r="I108" s="1" t="s">
        <v>54</v>
      </c>
      <c r="J108" s="8"/>
    </row>
    <row r="109">
      <c r="A109" s="1"/>
      <c r="C109" s="8"/>
      <c r="D109" s="8"/>
      <c r="E109" s="1" t="s">
        <v>3394</v>
      </c>
      <c r="F109" s="55" t="s">
        <v>1319</v>
      </c>
      <c r="G109" s="1" t="s">
        <v>1320</v>
      </c>
      <c r="I109" s="1" t="s">
        <v>54</v>
      </c>
      <c r="J109" s="8"/>
    </row>
    <row r="110">
      <c r="A110" s="1"/>
      <c r="C110" s="8"/>
      <c r="D110" s="8"/>
      <c r="E110" s="1" t="s">
        <v>3394</v>
      </c>
      <c r="F110" s="55" t="s">
        <v>1319</v>
      </c>
      <c r="G110" s="1" t="s">
        <v>1321</v>
      </c>
      <c r="H110" s="1" t="s">
        <v>1322</v>
      </c>
      <c r="I110" s="1" t="s">
        <v>54</v>
      </c>
      <c r="J110" s="8"/>
    </row>
    <row r="111">
      <c r="A111" s="1"/>
      <c r="C111" s="8"/>
      <c r="D111" s="8"/>
      <c r="E111" s="1" t="s">
        <v>3395</v>
      </c>
      <c r="F111" s="55" t="s">
        <v>1324</v>
      </c>
      <c r="G111" s="1" t="s">
        <v>1325</v>
      </c>
      <c r="H111" s="1" t="s">
        <v>1326</v>
      </c>
      <c r="I111" s="1" t="s">
        <v>39</v>
      </c>
      <c r="J111" s="8"/>
    </row>
    <row r="112">
      <c r="A112" s="1"/>
      <c r="C112" s="8"/>
      <c r="D112" s="8"/>
      <c r="I112" s="8"/>
      <c r="J112" s="8"/>
    </row>
    <row r="113">
      <c r="A113" s="1" t="s">
        <v>1327</v>
      </c>
      <c r="B113" s="170" t="str">
        <f>IF(ISBLANK(A113),"",VLOOKUP(A113,DOI_URL!$B$1:$C$74,2,FALSE()))</f>
        <v>https://drive.google.com/file/d/1zV_8Fbi0FfBwVeqfLb5mP-YUSUtiumzC/view?usp=sharing</v>
      </c>
      <c r="C113" s="1" t="s">
        <v>3311</v>
      </c>
      <c r="D113" s="1" t="s">
        <v>3311</v>
      </c>
      <c r="E113" s="1" t="s">
        <v>3396</v>
      </c>
      <c r="F113" s="1" t="s">
        <v>2865</v>
      </c>
      <c r="G113" s="1" t="s">
        <v>2866</v>
      </c>
      <c r="H113" s="1" t="s">
        <v>2867</v>
      </c>
      <c r="I113" s="1" t="s">
        <v>14</v>
      </c>
      <c r="J113" s="1" t="s">
        <v>1333</v>
      </c>
      <c r="K113" s="1" t="s">
        <v>3397</v>
      </c>
    </row>
    <row r="114">
      <c r="A114" s="1"/>
      <c r="C114" s="1"/>
      <c r="D114" s="1"/>
      <c r="E114" s="1" t="s">
        <v>3398</v>
      </c>
      <c r="F114" s="1" t="s">
        <v>2865</v>
      </c>
      <c r="G114" s="1" t="s">
        <v>1331</v>
      </c>
      <c r="H114" s="1" t="s">
        <v>2868</v>
      </c>
      <c r="I114" s="1" t="s">
        <v>14</v>
      </c>
      <c r="J114" s="1"/>
      <c r="K114" s="1"/>
    </row>
    <row r="115">
      <c r="A115" s="1"/>
      <c r="C115" s="1"/>
      <c r="D115" s="1"/>
      <c r="E115" s="1" t="s">
        <v>3399</v>
      </c>
      <c r="F115" s="1" t="s">
        <v>2872</v>
      </c>
      <c r="G115" s="1" t="s">
        <v>2668</v>
      </c>
      <c r="H115" s="1" t="s">
        <v>2873</v>
      </c>
      <c r="I115" s="1" t="s">
        <v>54</v>
      </c>
      <c r="J115" s="1"/>
      <c r="K115" s="1"/>
    </row>
    <row r="116">
      <c r="A116" s="1"/>
      <c r="C116" s="8"/>
      <c r="D116" s="8"/>
      <c r="E116" s="1" t="s">
        <v>3400</v>
      </c>
      <c r="F116" s="1" t="s">
        <v>1339</v>
      </c>
      <c r="G116" s="1" t="s">
        <v>1340</v>
      </c>
      <c r="H116" s="1" t="s">
        <v>1341</v>
      </c>
      <c r="I116" s="1" t="s">
        <v>54</v>
      </c>
      <c r="J116" s="8"/>
    </row>
    <row r="117">
      <c r="A117" s="1"/>
      <c r="C117" s="8"/>
      <c r="D117" s="8"/>
      <c r="E117" s="1" t="s">
        <v>3401</v>
      </c>
      <c r="F117" s="1" t="s">
        <v>1351</v>
      </c>
      <c r="G117" s="1" t="s">
        <v>1352</v>
      </c>
      <c r="H117" s="1" t="s">
        <v>1353</v>
      </c>
      <c r="I117" s="1" t="s">
        <v>54</v>
      </c>
      <c r="J117" s="8"/>
    </row>
    <row r="118">
      <c r="A118" s="1"/>
      <c r="C118" s="8"/>
      <c r="D118" s="8"/>
      <c r="E118" s="1" t="s">
        <v>3402</v>
      </c>
      <c r="F118" s="1" t="s">
        <v>2865</v>
      </c>
      <c r="G118" s="1" t="s">
        <v>1348</v>
      </c>
      <c r="H118" s="1" t="s">
        <v>2874</v>
      </c>
      <c r="I118" s="1" t="s">
        <v>44</v>
      </c>
      <c r="J118" s="8"/>
    </row>
    <row r="119">
      <c r="A119" s="1"/>
      <c r="C119" s="8"/>
      <c r="D119" s="8"/>
      <c r="E119" s="1" t="s">
        <v>3403</v>
      </c>
      <c r="F119" s="1" t="s">
        <v>1356</v>
      </c>
      <c r="G119" s="1" t="s">
        <v>1357</v>
      </c>
      <c r="H119" s="1" t="s">
        <v>1358</v>
      </c>
      <c r="I119" s="1" t="s">
        <v>39</v>
      </c>
      <c r="J119" s="8"/>
    </row>
    <row r="120">
      <c r="A120" s="1"/>
      <c r="C120" s="8"/>
      <c r="D120" s="8"/>
      <c r="E120" s="1" t="s">
        <v>3404</v>
      </c>
      <c r="F120" s="1" t="s">
        <v>1356</v>
      </c>
      <c r="G120" s="1" t="s">
        <v>1360</v>
      </c>
      <c r="H120" s="1" t="s">
        <v>1361</v>
      </c>
      <c r="I120" s="1" t="s">
        <v>39</v>
      </c>
      <c r="J120" s="8"/>
    </row>
    <row r="121">
      <c r="A121" s="1"/>
      <c r="C121" s="8"/>
      <c r="D121" s="8"/>
      <c r="E121" s="1"/>
      <c r="F121" s="1"/>
      <c r="G121" s="1"/>
      <c r="H121" s="1"/>
      <c r="I121" s="1"/>
      <c r="J121" s="8"/>
    </row>
    <row r="122">
      <c r="A122" s="1" t="s">
        <v>2204</v>
      </c>
      <c r="B122" s="170" t="str">
        <f>IF(ISBLANK(A122),"",VLOOKUP(A122,DOI_URL!$B$1:$C$74,2,FALSE()))</f>
        <v>https://drive.google.com/file/d/1Eto7Zm5mpDYXObZ3Rozs559hM334gzmk/view?usp=sharing</v>
      </c>
      <c r="C122" s="1" t="s">
        <v>3311</v>
      </c>
      <c r="D122" s="1" t="s">
        <v>3311</v>
      </c>
      <c r="E122" s="1" t="s">
        <v>3405</v>
      </c>
      <c r="F122" s="1" t="s">
        <v>2880</v>
      </c>
      <c r="G122" s="1" t="s">
        <v>2881</v>
      </c>
      <c r="I122" s="1" t="s">
        <v>14</v>
      </c>
      <c r="J122" s="1" t="s">
        <v>488</v>
      </c>
    </row>
    <row r="123">
      <c r="A123" s="1"/>
      <c r="C123" s="1"/>
      <c r="D123" s="8"/>
      <c r="E123" s="1" t="s">
        <v>3405</v>
      </c>
      <c r="F123" s="1" t="s">
        <v>2880</v>
      </c>
      <c r="G123" s="1" t="s">
        <v>2884</v>
      </c>
      <c r="I123" s="1" t="s">
        <v>14</v>
      </c>
      <c r="J123" s="1"/>
    </row>
    <row r="124">
      <c r="A124" s="1"/>
      <c r="C124" s="1"/>
      <c r="D124" s="8"/>
      <c r="E124" s="1" t="s">
        <v>3405</v>
      </c>
      <c r="F124" s="1" t="s">
        <v>2880</v>
      </c>
      <c r="G124" s="1" t="s">
        <v>2885</v>
      </c>
      <c r="I124" s="1" t="s">
        <v>14</v>
      </c>
      <c r="J124" s="1"/>
    </row>
    <row r="125">
      <c r="A125" s="1"/>
      <c r="C125" s="8"/>
      <c r="D125" s="8"/>
      <c r="E125" s="1" t="s">
        <v>3406</v>
      </c>
      <c r="F125" s="1" t="s">
        <v>2880</v>
      </c>
      <c r="G125" s="1" t="s">
        <v>2887</v>
      </c>
      <c r="H125" s="1" t="s">
        <v>2888</v>
      </c>
      <c r="I125" s="1" t="s">
        <v>14</v>
      </c>
      <c r="J125" s="8"/>
    </row>
    <row r="126">
      <c r="A126" s="1"/>
      <c r="C126" s="8"/>
      <c r="D126" s="8"/>
      <c r="E126" s="1" t="s">
        <v>3407</v>
      </c>
      <c r="F126" s="1" t="s">
        <v>503</v>
      </c>
      <c r="G126" s="1" t="s">
        <v>2890</v>
      </c>
      <c r="I126" s="1" t="s">
        <v>2388</v>
      </c>
      <c r="J126" s="8"/>
    </row>
    <row r="127">
      <c r="A127" s="1"/>
      <c r="C127" s="8"/>
      <c r="D127" s="8"/>
      <c r="E127" s="1" t="s">
        <v>3408</v>
      </c>
      <c r="F127" s="1" t="s">
        <v>1370</v>
      </c>
      <c r="G127" s="1" t="s">
        <v>2893</v>
      </c>
      <c r="H127" s="1" t="s">
        <v>2894</v>
      </c>
      <c r="I127" s="1" t="s">
        <v>39</v>
      </c>
      <c r="J127" s="8"/>
    </row>
    <row r="128">
      <c r="A128" s="1"/>
      <c r="C128" s="8"/>
      <c r="D128" s="8"/>
      <c r="E128" s="1" t="s">
        <v>3409</v>
      </c>
      <c r="F128" s="1" t="s">
        <v>748</v>
      </c>
      <c r="G128" s="1" t="s">
        <v>2898</v>
      </c>
      <c r="H128" s="1" t="s">
        <v>2899</v>
      </c>
      <c r="I128" s="1" t="s">
        <v>39</v>
      </c>
      <c r="J128" s="8"/>
    </row>
    <row r="129">
      <c r="A129" s="1"/>
      <c r="C129" s="8"/>
      <c r="D129" s="8"/>
      <c r="E129" s="1"/>
      <c r="F129" s="1"/>
      <c r="G129" s="1"/>
      <c r="H129" s="1"/>
      <c r="I129" s="1"/>
      <c r="J129" s="8"/>
    </row>
    <row r="130">
      <c r="A130" s="1" t="s">
        <v>1362</v>
      </c>
      <c r="B130" s="170" t="str">
        <f>IF(ISBLANK(A130),"",VLOOKUP(A130,DOI_URL!$B$1:$C$74,2,FALSE()))</f>
        <v>https://drive.google.com/file/d/1I7yD7lsvSSCG_UY_BzPf_XI6UxRLHdlc/view?usp=sharing</v>
      </c>
      <c r="C130" s="1" t="s">
        <v>3311</v>
      </c>
      <c r="D130" s="1" t="s">
        <v>3311</v>
      </c>
      <c r="E130" s="1" t="s">
        <v>3410</v>
      </c>
      <c r="F130" s="1" t="s">
        <v>1365</v>
      </c>
      <c r="G130" s="1" t="s">
        <v>1366</v>
      </c>
      <c r="I130" s="1" t="s">
        <v>54</v>
      </c>
      <c r="J130" s="1" t="s">
        <v>1367</v>
      </c>
    </row>
    <row r="131">
      <c r="A131" s="1"/>
      <c r="C131" s="8"/>
      <c r="D131" s="8"/>
      <c r="E131" s="1" t="s">
        <v>3410</v>
      </c>
      <c r="F131" s="1" t="s">
        <v>1365</v>
      </c>
      <c r="G131" s="1" t="s">
        <v>1368</v>
      </c>
      <c r="H131" s="1" t="s">
        <v>1369</v>
      </c>
      <c r="I131" s="1" t="s">
        <v>54</v>
      </c>
      <c r="J131" s="8"/>
    </row>
    <row r="132">
      <c r="A132" s="1"/>
      <c r="C132" s="8"/>
      <c r="D132" s="8"/>
      <c r="E132" s="1" t="s">
        <v>3410</v>
      </c>
      <c r="F132" s="1" t="s">
        <v>1370</v>
      </c>
      <c r="G132" s="1" t="s">
        <v>1371</v>
      </c>
      <c r="H132" s="1"/>
      <c r="I132" s="1" t="s">
        <v>39</v>
      </c>
      <c r="J132" s="8"/>
    </row>
    <row r="133">
      <c r="A133" s="1"/>
      <c r="C133" s="8"/>
      <c r="D133" s="8"/>
      <c r="E133" s="1" t="s">
        <v>3411</v>
      </c>
      <c r="F133" s="1" t="s">
        <v>503</v>
      </c>
      <c r="G133" s="1" t="s">
        <v>2916</v>
      </c>
      <c r="H133" s="1"/>
      <c r="I133" s="1" t="s">
        <v>54</v>
      </c>
      <c r="J133" s="8"/>
    </row>
    <row r="134">
      <c r="A134" s="1"/>
      <c r="C134" s="8"/>
      <c r="D134" s="1" t="s">
        <v>3309</v>
      </c>
      <c r="E134" s="1" t="s">
        <v>3412</v>
      </c>
      <c r="F134" s="1" t="s">
        <v>1379</v>
      </c>
      <c r="G134" s="1" t="s">
        <v>1380</v>
      </c>
      <c r="H134" s="1" t="s">
        <v>1381</v>
      </c>
      <c r="I134" s="1" t="s">
        <v>39</v>
      </c>
      <c r="J134" s="8"/>
    </row>
    <row r="135">
      <c r="A135" s="1"/>
      <c r="C135" s="8"/>
      <c r="D135" s="8"/>
      <c r="E135" s="1" t="s">
        <v>3413</v>
      </c>
      <c r="F135" s="1" t="s">
        <v>2918</v>
      </c>
      <c r="G135" s="1" t="s">
        <v>2919</v>
      </c>
      <c r="H135" s="1" t="s">
        <v>2920</v>
      </c>
      <c r="I135" s="1" t="s">
        <v>39</v>
      </c>
      <c r="J135" s="8"/>
    </row>
    <row r="136">
      <c r="A136" s="1"/>
      <c r="C136" s="8"/>
      <c r="D136" s="8"/>
      <c r="E136" s="1"/>
      <c r="F136" s="1"/>
      <c r="G136" s="1"/>
      <c r="H136" s="1"/>
      <c r="I136" s="1"/>
      <c r="J136" s="8"/>
    </row>
    <row r="137">
      <c r="A137" s="1" t="s">
        <v>1394</v>
      </c>
      <c r="B137" s="170" t="str">
        <f>IF(ISBLANK(A137),"",VLOOKUP(A137,DOI_URL!$B$1:$C$74,2,FALSE()))</f>
        <v>https://drive.google.com/file/d/1sB-xonJFCdKKVFj0c0ZujuSW-Fzmkeo3/view?usp=sharing</v>
      </c>
      <c r="C137" s="1" t="s">
        <v>3311</v>
      </c>
      <c r="D137" s="1" t="s">
        <v>3311</v>
      </c>
      <c r="E137" s="1" t="s">
        <v>3414</v>
      </c>
      <c r="F137" s="1" t="s">
        <v>503</v>
      </c>
      <c r="G137" s="1" t="s">
        <v>1397</v>
      </c>
      <c r="H137" s="1" t="s">
        <v>1398</v>
      </c>
      <c r="I137" s="1" t="s">
        <v>54</v>
      </c>
      <c r="J137" s="1" t="s">
        <v>1399</v>
      </c>
    </row>
    <row r="138">
      <c r="A138" s="1"/>
      <c r="C138" s="8"/>
      <c r="D138" s="8"/>
      <c r="E138" s="1" t="s">
        <v>3415</v>
      </c>
      <c r="F138" s="1" t="s">
        <v>503</v>
      </c>
      <c r="G138" s="1" t="s">
        <v>1406</v>
      </c>
      <c r="H138" s="1" t="s">
        <v>1407</v>
      </c>
      <c r="I138" s="1" t="s">
        <v>54</v>
      </c>
      <c r="J138" s="8"/>
    </row>
    <row r="139">
      <c r="C139" s="8"/>
      <c r="D139" s="8"/>
      <c r="E139" s="1" t="s">
        <v>3416</v>
      </c>
      <c r="F139" s="1" t="s">
        <v>1026</v>
      </c>
      <c r="G139" s="1" t="s">
        <v>1410</v>
      </c>
      <c r="H139" s="1" t="s">
        <v>1411</v>
      </c>
      <c r="I139" s="1" t="s">
        <v>39</v>
      </c>
      <c r="J139" s="8"/>
    </row>
    <row r="140">
      <c r="A140" s="8"/>
      <c r="B140" s="8" t="str">
        <f>IF(ISBLANK(A140),"",VLOOKUP(A140,DOI_URL!$B$1:$C$74,2,FALSE()))</f>
        <v/>
      </c>
      <c r="C140" s="8"/>
      <c r="D140" s="8"/>
      <c r="E140" s="1" t="s">
        <v>3417</v>
      </c>
      <c r="F140" s="1" t="s">
        <v>1026</v>
      </c>
      <c r="G140" s="1" t="s">
        <v>2929</v>
      </c>
      <c r="H140" s="1" t="s">
        <v>2930</v>
      </c>
      <c r="I140" s="1" t="s">
        <v>39</v>
      </c>
      <c r="J140" s="8"/>
    </row>
    <row r="141">
      <c r="A141" s="8"/>
      <c r="B141" s="8" t="str">
        <f>IF(ISBLANK(A141),"",VLOOKUP(A141,DOI_URL!$B$1:$C$74,2,FALSE()))</f>
        <v/>
      </c>
      <c r="C141" s="8"/>
      <c r="D141" s="8"/>
      <c r="E141" s="1" t="s">
        <v>3417</v>
      </c>
      <c r="F141" s="1" t="s">
        <v>1026</v>
      </c>
      <c r="G141" s="1" t="s">
        <v>1419</v>
      </c>
      <c r="H141" s="1" t="s">
        <v>1420</v>
      </c>
      <c r="I141" s="1" t="s">
        <v>39</v>
      </c>
      <c r="J141" s="8"/>
    </row>
    <row r="142">
      <c r="A142" s="8"/>
      <c r="B142" s="8" t="str">
        <f>IF(ISBLANK(A142),"",VLOOKUP(A142,DOI_URL!$B$1:$C$74,2,FALSE()))</f>
        <v/>
      </c>
      <c r="C142" s="8"/>
      <c r="D142" s="8"/>
      <c r="E142" s="1" t="s">
        <v>3417</v>
      </c>
      <c r="F142" s="1" t="s">
        <v>1026</v>
      </c>
      <c r="G142" s="1" t="s">
        <v>1421</v>
      </c>
      <c r="H142" s="1" t="s">
        <v>1422</v>
      </c>
      <c r="I142" s="1" t="s">
        <v>39</v>
      </c>
      <c r="J142" s="8"/>
    </row>
    <row r="143">
      <c r="A143" s="1"/>
      <c r="C143" s="8"/>
      <c r="D143" s="8"/>
      <c r="I143" s="8"/>
      <c r="J143" s="8"/>
    </row>
    <row r="144">
      <c r="A144" s="1" t="s">
        <v>1423</v>
      </c>
      <c r="B144" s="170" t="str">
        <f>IF(ISBLANK(A144),"",VLOOKUP(A144,DOI_URL!$B$1:$C$74,2,FALSE()))</f>
        <v>https://drive.google.com/file/d/1TGziuvDHBUSoJKgMAm5qwn3z5cByw6T1/view?usp=sharing</v>
      </c>
      <c r="C144" s="1" t="s">
        <v>3311</v>
      </c>
      <c r="D144" s="1" t="s">
        <v>3311</v>
      </c>
      <c r="E144" s="1" t="s">
        <v>3418</v>
      </c>
      <c r="F144" s="1" t="s">
        <v>2942</v>
      </c>
      <c r="G144" s="1" t="s">
        <v>2943</v>
      </c>
      <c r="I144" s="1" t="s">
        <v>14</v>
      </c>
      <c r="J144" s="1" t="s">
        <v>289</v>
      </c>
    </row>
    <row r="145">
      <c r="A145" s="8"/>
      <c r="B145" s="8" t="str">
        <f>IF(ISBLANK(A145),"",VLOOKUP(A145,DOI_URL!$B$1:$C$74,2,FALSE()))</f>
        <v/>
      </c>
      <c r="C145" s="8"/>
      <c r="D145" s="8"/>
      <c r="E145" s="1" t="s">
        <v>3418</v>
      </c>
      <c r="F145" s="1" t="s">
        <v>2942</v>
      </c>
      <c r="G145" s="1" t="s">
        <v>2944</v>
      </c>
      <c r="I145" s="1" t="s">
        <v>14</v>
      </c>
      <c r="J145" s="8"/>
    </row>
    <row r="146">
      <c r="A146" s="8"/>
      <c r="B146" s="8" t="str">
        <f>IF(ISBLANK(A146),"",VLOOKUP(A146,DOI_URL!$B$1:$C$74,2,FALSE()))</f>
        <v/>
      </c>
      <c r="C146" s="8"/>
      <c r="D146" s="8"/>
      <c r="E146" s="1" t="s">
        <v>3419</v>
      </c>
      <c r="F146" s="1" t="s">
        <v>1003</v>
      </c>
      <c r="G146" s="1" t="s">
        <v>2946</v>
      </c>
      <c r="H146" s="1" t="s">
        <v>2947</v>
      </c>
      <c r="I146" s="1" t="s">
        <v>14</v>
      </c>
      <c r="J146" s="8"/>
    </row>
    <row r="147">
      <c r="A147" s="8"/>
      <c r="B147" s="8" t="str">
        <f>IF(ISBLANK(A147),"",VLOOKUP(A147,DOI_URL!$B$1:$C$74,2,FALSE()))</f>
        <v/>
      </c>
      <c r="C147" s="8"/>
      <c r="D147" s="8"/>
      <c r="E147" s="1" t="s">
        <v>3419</v>
      </c>
      <c r="F147" s="1" t="s">
        <v>1003</v>
      </c>
      <c r="G147" s="1" t="s">
        <v>2949</v>
      </c>
      <c r="H147" s="1" t="s">
        <v>2948</v>
      </c>
      <c r="I147" s="1" t="s">
        <v>14</v>
      </c>
      <c r="J147" s="8"/>
    </row>
    <row r="148">
      <c r="A148" s="8"/>
      <c r="B148" s="8" t="str">
        <f>IF(ISBLANK(A148),"",VLOOKUP(A148,DOI_URL!$B$1:$C$74,2,FALSE()))</f>
        <v/>
      </c>
      <c r="C148" s="8"/>
      <c r="D148" s="8"/>
      <c r="E148" s="1" t="s">
        <v>3419</v>
      </c>
      <c r="F148" s="1" t="s">
        <v>1003</v>
      </c>
      <c r="G148" s="1" t="s">
        <v>2950</v>
      </c>
      <c r="H148" s="1" t="s">
        <v>2951</v>
      </c>
      <c r="I148" s="1" t="s">
        <v>54</v>
      </c>
      <c r="J148" s="8"/>
    </row>
    <row r="149">
      <c r="A149" s="8"/>
      <c r="B149" s="8" t="str">
        <f>IF(ISBLANK(A149),"",VLOOKUP(A149,DOI_URL!$B$1:$C$74,2,FALSE()))</f>
        <v/>
      </c>
      <c r="C149" s="8"/>
      <c r="D149" s="8"/>
      <c r="E149" s="1" t="s">
        <v>3420</v>
      </c>
      <c r="F149" s="1" t="s">
        <v>2955</v>
      </c>
      <c r="G149" s="1" t="s">
        <v>1444</v>
      </c>
      <c r="H149" s="1" t="s">
        <v>2956</v>
      </c>
      <c r="I149" s="1" t="s">
        <v>54</v>
      </c>
      <c r="J149" s="8"/>
    </row>
    <row r="150">
      <c r="A150" s="8"/>
      <c r="B150" s="8" t="str">
        <f>IF(ISBLANK(A150),"",VLOOKUP(A150,DOI_URL!$B$1:$C$74,2,FALSE()))</f>
        <v/>
      </c>
      <c r="C150" s="8"/>
      <c r="D150" s="8"/>
      <c r="E150" s="1" t="s">
        <v>3421</v>
      </c>
      <c r="F150" s="1" t="s">
        <v>33</v>
      </c>
      <c r="G150" s="1" t="s">
        <v>2957</v>
      </c>
      <c r="H150" s="1" t="s">
        <v>2958</v>
      </c>
      <c r="I150" s="1" t="s">
        <v>44</v>
      </c>
      <c r="J150" s="8"/>
    </row>
    <row r="151">
      <c r="A151" s="8"/>
      <c r="B151" s="8" t="str">
        <f>IF(ISBLANK(A151),"",VLOOKUP(A151,DOI_URL!$B$1:$C$74,2,FALSE()))</f>
        <v/>
      </c>
      <c r="C151" s="8"/>
      <c r="D151" s="8"/>
      <c r="E151" s="1" t="s">
        <v>3422</v>
      </c>
      <c r="F151" s="1" t="s">
        <v>748</v>
      </c>
      <c r="G151" s="1" t="s">
        <v>1451</v>
      </c>
      <c r="I151" s="1" t="s">
        <v>39</v>
      </c>
      <c r="J151" s="8"/>
    </row>
    <row r="152">
      <c r="A152" s="8"/>
      <c r="B152" s="8" t="str">
        <f>IF(ISBLANK(A152),"",VLOOKUP(A152,DOI_URL!$B$1:$C$74,2,FALSE()))</f>
        <v/>
      </c>
      <c r="C152" s="8"/>
      <c r="D152" s="8"/>
      <c r="E152" s="1" t="s">
        <v>3423</v>
      </c>
      <c r="F152" s="1" t="s">
        <v>748</v>
      </c>
      <c r="G152" s="1" t="s">
        <v>2963</v>
      </c>
      <c r="H152" s="1" t="s">
        <v>2624</v>
      </c>
      <c r="I152" s="1" t="s">
        <v>39</v>
      </c>
      <c r="J152" s="8"/>
    </row>
    <row r="153">
      <c r="A153" s="8"/>
      <c r="B153" s="8" t="str">
        <f>IF(ISBLANK(A153),"",VLOOKUP(A153,DOI_URL!$B$1:$C$74,2,FALSE()))</f>
        <v/>
      </c>
      <c r="C153" s="8"/>
      <c r="D153" s="8"/>
      <c r="E153" s="1" t="s">
        <v>3424</v>
      </c>
      <c r="F153" s="1" t="s">
        <v>748</v>
      </c>
      <c r="G153" s="1" t="s">
        <v>2965</v>
      </c>
      <c r="I153" s="1" t="s">
        <v>39</v>
      </c>
      <c r="J153" s="8"/>
    </row>
    <row r="154">
      <c r="A154" s="8"/>
      <c r="B154" s="8" t="str">
        <f>IF(ISBLANK(A154),"",VLOOKUP(A154,DOI_URL!$B$1:$C$74,2,FALSE()))</f>
        <v/>
      </c>
      <c r="C154" s="8"/>
      <c r="D154" s="8"/>
      <c r="E154" s="1" t="s">
        <v>3425</v>
      </c>
      <c r="F154" s="1" t="s">
        <v>748</v>
      </c>
      <c r="G154" s="1" t="s">
        <v>2969</v>
      </c>
      <c r="I154" s="1" t="s">
        <v>39</v>
      </c>
      <c r="J154" s="8"/>
    </row>
    <row r="155">
      <c r="A155" s="8"/>
      <c r="B155" s="8" t="str">
        <f>IF(ISBLANK(A155),"",VLOOKUP(A155,DOI_URL!$B$1:$C$74,2,FALSE()))</f>
        <v/>
      </c>
      <c r="C155" s="8"/>
      <c r="D155" s="8"/>
      <c r="E155" s="1" t="s">
        <v>3426</v>
      </c>
      <c r="F155" s="1" t="s">
        <v>748</v>
      </c>
      <c r="G155" s="1" t="s">
        <v>2973</v>
      </c>
      <c r="H155" s="1" t="s">
        <v>2974</v>
      </c>
      <c r="I155" s="1" t="s">
        <v>39</v>
      </c>
      <c r="J155" s="8"/>
    </row>
    <row r="156">
      <c r="A156" s="8"/>
      <c r="B156" s="8" t="str">
        <f>IF(ISBLANK(A156),"",VLOOKUP(A156,DOI_URL!$B$1:$C$74,2,FALSE()))</f>
        <v/>
      </c>
      <c r="C156" s="8"/>
      <c r="D156" s="8"/>
      <c r="I156" s="8"/>
      <c r="J156" s="8"/>
    </row>
    <row r="157">
      <c r="A157" s="8"/>
      <c r="B157" s="8" t="str">
        <f>IF(ISBLANK(A157),"",VLOOKUP(A157,DOI_URL!$B$1:$C$74,2,FALSE()))</f>
        <v/>
      </c>
      <c r="C157" s="8"/>
      <c r="D157" s="8"/>
      <c r="I157" s="8"/>
      <c r="J157" s="8"/>
    </row>
    <row r="158">
      <c r="A158" s="8"/>
      <c r="B158" s="8" t="str">
        <f>IF(ISBLANK(A158),"",VLOOKUP(A158,DOI_URL!$B$1:$C$74,2,FALSE()))</f>
        <v/>
      </c>
      <c r="C158" s="8"/>
      <c r="D158" s="8"/>
      <c r="I158" s="8"/>
      <c r="J158" s="8"/>
    </row>
    <row r="159">
      <c r="A159" s="8"/>
      <c r="B159" s="8" t="str">
        <f>IF(ISBLANK(A159),"",VLOOKUP(A159,DOI_URL!$B$1:$C$74,2,FALSE()))</f>
        <v/>
      </c>
      <c r="C159" s="8"/>
      <c r="D159" s="8"/>
      <c r="I159" s="8"/>
      <c r="J159" s="8"/>
    </row>
    <row r="160">
      <c r="A160" s="8"/>
      <c r="B160" s="8" t="str">
        <f>IF(ISBLANK(A160),"",VLOOKUP(A160,DOI_URL!$B$1:$C$74,2,FALSE()))</f>
        <v/>
      </c>
      <c r="C160" s="8"/>
      <c r="D160" s="8"/>
      <c r="I160" s="8"/>
      <c r="J160" s="8"/>
    </row>
    <row r="161">
      <c r="A161" s="8"/>
      <c r="B161" s="8" t="str">
        <f>IF(ISBLANK(A161),"",VLOOKUP(A161,DOI_URL!$B$1:$C$74,2,FALSE()))</f>
        <v/>
      </c>
      <c r="C161" s="8"/>
      <c r="D161" s="8"/>
      <c r="I161" s="8"/>
      <c r="J161" s="8"/>
    </row>
    <row r="162">
      <c r="A162" s="8"/>
      <c r="B162" s="8" t="str">
        <f>IF(ISBLANK(A162),"",VLOOKUP(A162,DOI_URL!$B$1:$C$74,2,FALSE()))</f>
        <v/>
      </c>
      <c r="C162" s="8"/>
      <c r="D162" s="8"/>
      <c r="E162" s="8"/>
      <c r="I162" s="8"/>
      <c r="J162" s="8"/>
    </row>
    <row r="163">
      <c r="A163" s="8"/>
      <c r="B163" s="8" t="str">
        <f>IF(ISBLANK(A163),"",VLOOKUP(A163,DOI_URL!$B$1:$C$74,2,FALSE()))</f>
        <v/>
      </c>
      <c r="C163" s="8"/>
      <c r="D163" s="8"/>
      <c r="I163" s="8"/>
      <c r="J163" s="8"/>
    </row>
    <row r="164">
      <c r="A164" s="8"/>
      <c r="B164" s="8" t="str">
        <f>IF(ISBLANK(A164),"",VLOOKUP(A164,DOI_URL!$B$1:$C$74,2,FALSE()))</f>
        <v/>
      </c>
      <c r="C164" s="8"/>
      <c r="D164" s="8"/>
      <c r="I164" s="8"/>
      <c r="J164" s="8"/>
    </row>
    <row r="165">
      <c r="A165" s="8"/>
      <c r="B165" s="8" t="str">
        <f>IF(ISBLANK(A165),"",VLOOKUP(A165,DOI_URL!$B$1:$C$74,2,FALSE()))</f>
        <v/>
      </c>
      <c r="C165" s="8"/>
      <c r="D165" s="8"/>
      <c r="I165" s="8"/>
      <c r="J165" s="8"/>
    </row>
    <row r="166">
      <c r="A166" s="8"/>
      <c r="B166" s="8" t="str">
        <f>IF(ISBLANK(A166),"",VLOOKUP(A166,DOI_URL!$B$1:$C$74,2,FALSE()))</f>
        <v/>
      </c>
      <c r="C166" s="8"/>
      <c r="D166" s="8"/>
      <c r="I166" s="8"/>
      <c r="J166" s="8"/>
    </row>
    <row r="167">
      <c r="A167" s="8"/>
      <c r="B167" s="8" t="str">
        <f>IF(ISBLANK(A167),"",VLOOKUP(A167,DOI_URL!$B$1:$C$74,2,FALSE()))</f>
        <v/>
      </c>
      <c r="C167" s="8"/>
      <c r="D167" s="8"/>
      <c r="I167" s="8"/>
      <c r="J167" s="8"/>
    </row>
    <row r="168">
      <c r="A168" s="8"/>
      <c r="B168" s="8" t="str">
        <f>IF(ISBLANK(A168),"",VLOOKUP(A168,DOI_URL!$B$1:$C$74,2,FALSE()))</f>
        <v/>
      </c>
      <c r="C168" s="8"/>
      <c r="D168" s="8"/>
      <c r="I168" s="8"/>
      <c r="J168" s="8"/>
    </row>
    <row r="169">
      <c r="A169" s="8"/>
      <c r="B169" s="8" t="str">
        <f>IF(ISBLANK(A169),"",VLOOKUP(A169,DOI_URL!$B$1:$C$74,2,FALSE()))</f>
        <v/>
      </c>
      <c r="C169" s="8"/>
      <c r="D169" s="8"/>
      <c r="I169" s="8"/>
      <c r="J169" s="8"/>
    </row>
    <row r="170">
      <c r="A170" s="8"/>
      <c r="B170" s="8" t="str">
        <f>IF(ISBLANK(A170),"",VLOOKUP(A170,DOI_URL!$B$1:$C$74,2,FALSE()))</f>
        <v/>
      </c>
      <c r="C170" s="8"/>
      <c r="D170" s="8"/>
      <c r="I170" s="8"/>
      <c r="J170" s="8"/>
    </row>
    <row r="171">
      <c r="A171" s="8"/>
      <c r="B171" s="8" t="str">
        <f>IF(ISBLANK(A171),"",VLOOKUP(A171,DOI_URL!$B$1:$C$74,2,FALSE()))</f>
        <v/>
      </c>
      <c r="C171" s="8"/>
      <c r="D171" s="8"/>
      <c r="I171" s="8"/>
      <c r="J171" s="8"/>
    </row>
    <row r="172">
      <c r="A172" s="8"/>
      <c r="B172" s="8" t="str">
        <f>IF(ISBLANK(A172),"",VLOOKUP(A172,DOI_URL!$B$1:$C$74,2,FALSE()))</f>
        <v/>
      </c>
      <c r="C172" s="8"/>
      <c r="D172" s="8"/>
      <c r="I172" s="8"/>
      <c r="J172" s="8"/>
    </row>
    <row r="173">
      <c r="A173" s="8"/>
      <c r="B173" s="8" t="str">
        <f>IF(ISBLANK(A173),"",VLOOKUP(A173,DOI_URL!$B$1:$C$74,2,FALSE()))</f>
        <v/>
      </c>
      <c r="C173" s="8"/>
      <c r="D173" s="8"/>
      <c r="I173" s="8"/>
      <c r="J173" s="8"/>
    </row>
    <row r="174">
      <c r="A174" s="8"/>
      <c r="B174" s="8" t="str">
        <f>IF(ISBLANK(A174),"",VLOOKUP(A174,DOI_URL!$B$1:$C$74,2,FALSE()))</f>
        <v/>
      </c>
      <c r="C174" s="8"/>
      <c r="D174" s="8"/>
      <c r="I174" s="8"/>
      <c r="J174" s="8"/>
    </row>
    <row r="175">
      <c r="A175" s="8"/>
      <c r="B175" s="8" t="str">
        <f>IF(ISBLANK(A175),"",VLOOKUP(A175,DOI_URL!$B$1:$C$74,2,FALSE()))</f>
        <v/>
      </c>
      <c r="C175" s="8"/>
      <c r="D175" s="8"/>
      <c r="I175" s="8"/>
      <c r="J175" s="8"/>
    </row>
    <row r="176">
      <c r="A176" s="8"/>
      <c r="B176" s="8" t="str">
        <f>IF(ISBLANK(A176),"",VLOOKUP(A176,DOI_URL!$B$1:$C$74,2,FALSE()))</f>
        <v/>
      </c>
      <c r="C176" s="8"/>
      <c r="D176" s="8"/>
      <c r="I176" s="8"/>
      <c r="J176" s="8"/>
    </row>
    <row r="177">
      <c r="A177" s="8"/>
      <c r="B177" s="8" t="str">
        <f>IF(ISBLANK(A177),"",VLOOKUP(A177,DOI_URL!$B$1:$C$74,2,FALSE()))</f>
        <v/>
      </c>
      <c r="C177" s="8"/>
      <c r="D177" s="8"/>
      <c r="I177" s="8"/>
      <c r="J177" s="8"/>
    </row>
    <row r="178">
      <c r="A178" s="8"/>
      <c r="B178" s="8" t="str">
        <f>IF(ISBLANK(A178),"",VLOOKUP(A178,DOI_URL!$B$1:$C$74,2,FALSE()))</f>
        <v/>
      </c>
      <c r="C178" s="8"/>
      <c r="D178" s="8"/>
      <c r="I178" s="8"/>
      <c r="J178" s="8"/>
    </row>
    <row r="179">
      <c r="A179" s="8"/>
      <c r="B179" s="8" t="str">
        <f>IF(ISBLANK(A179),"",VLOOKUP(A179,DOI_URL!$B$1:$C$74,2,FALSE()))</f>
        <v/>
      </c>
      <c r="C179" s="8"/>
      <c r="D179" s="8"/>
      <c r="I179" s="8"/>
      <c r="J179" s="8"/>
    </row>
    <row r="180">
      <c r="A180" s="8"/>
      <c r="B180" s="8" t="str">
        <f>IF(ISBLANK(A180),"",VLOOKUP(A180,DOI_URL!$B$1:$C$74,2,FALSE()))</f>
        <v/>
      </c>
      <c r="C180" s="8"/>
      <c r="D180" s="8"/>
      <c r="I180" s="8"/>
      <c r="J180" s="8"/>
    </row>
    <row r="181">
      <c r="A181" s="8"/>
      <c r="B181" s="8" t="str">
        <f>IF(ISBLANK(A181),"",VLOOKUP(A181,DOI_URL!$B$1:$C$74,2,FALSE()))</f>
        <v/>
      </c>
      <c r="C181" s="8"/>
      <c r="D181" s="8"/>
      <c r="I181" s="8"/>
      <c r="J181" s="8"/>
    </row>
    <row r="182">
      <c r="A182" s="8"/>
      <c r="B182" s="8" t="str">
        <f>IF(ISBLANK(A182),"",VLOOKUP(A182,DOI_URL!$B$1:$C$74,2,FALSE()))</f>
        <v/>
      </c>
      <c r="C182" s="8"/>
      <c r="D182" s="8"/>
      <c r="I182" s="8"/>
      <c r="J182" s="8"/>
    </row>
    <row r="183">
      <c r="A183" s="8"/>
      <c r="B183" s="8" t="str">
        <f>IF(ISBLANK(A183),"",VLOOKUP(A183,DOI_URL!$B$1:$C$74,2,FALSE()))</f>
        <v/>
      </c>
      <c r="C183" s="8"/>
      <c r="D183" s="8"/>
      <c r="I183" s="8"/>
      <c r="J183" s="8"/>
    </row>
    <row r="184">
      <c r="A184" s="8"/>
      <c r="B184" s="8" t="str">
        <f>IF(ISBLANK(A184),"",VLOOKUP(A184,DOI_URL!$B$1:$C$74,2,FALSE()))</f>
        <v/>
      </c>
      <c r="C184" s="8"/>
      <c r="D184" s="8"/>
      <c r="I184" s="8"/>
      <c r="J184" s="8"/>
    </row>
    <row r="185">
      <c r="A185" s="8"/>
      <c r="B185" s="8" t="str">
        <f>IF(ISBLANK(A185),"",VLOOKUP(A185,DOI_URL!$B$1:$C$74,2,FALSE()))</f>
        <v/>
      </c>
      <c r="C185" s="8"/>
      <c r="D185" s="8"/>
      <c r="I185" s="8"/>
      <c r="J185" s="8"/>
    </row>
    <row r="186">
      <c r="A186" s="8"/>
      <c r="B186" s="8" t="str">
        <f>IF(ISBLANK(A186),"",VLOOKUP(A186,DOI_URL!$B$1:$C$74,2,FALSE()))</f>
        <v/>
      </c>
      <c r="C186" s="8"/>
      <c r="D186" s="8"/>
      <c r="I186" s="8"/>
      <c r="J186" s="8"/>
    </row>
    <row r="187">
      <c r="A187" s="8"/>
      <c r="B187" s="8" t="str">
        <f>IF(ISBLANK(A187),"",VLOOKUP(A187,DOI_URL!$B$1:$C$74,2,FALSE()))</f>
        <v/>
      </c>
      <c r="C187" s="8"/>
      <c r="D187" s="8"/>
      <c r="I187" s="8"/>
      <c r="J187" s="8"/>
    </row>
    <row r="188">
      <c r="A188" s="8"/>
      <c r="B188" s="8" t="str">
        <f>IF(ISBLANK(A188),"",VLOOKUP(A188,DOI_URL!$B$1:$C$74,2,FALSE()))</f>
        <v/>
      </c>
      <c r="C188" s="8"/>
      <c r="D188" s="8"/>
      <c r="I188" s="8"/>
      <c r="J188" s="8"/>
    </row>
    <row r="189">
      <c r="A189" s="8"/>
      <c r="B189" s="8" t="str">
        <f>IF(ISBLANK(A189),"",VLOOKUP(A189,DOI_URL!$B$1:$C$74,2,FALSE()))</f>
        <v/>
      </c>
      <c r="C189" s="8"/>
      <c r="D189" s="8"/>
      <c r="I189" s="8"/>
      <c r="J189" s="8"/>
    </row>
    <row r="190">
      <c r="A190" s="8"/>
      <c r="B190" s="8" t="str">
        <f>IF(ISBLANK(A190),"",VLOOKUP(A190,DOI_URL!$B$1:$C$74,2,FALSE()))</f>
        <v/>
      </c>
      <c r="C190" s="8"/>
      <c r="D190" s="8"/>
      <c r="I190" s="8"/>
      <c r="J190" s="8"/>
    </row>
    <row r="191">
      <c r="A191" s="8"/>
      <c r="B191" s="8" t="str">
        <f>IF(ISBLANK(A191),"",VLOOKUP(A191,DOI_URL!$B$1:$C$74,2,FALSE()))</f>
        <v/>
      </c>
      <c r="C191" s="8"/>
      <c r="D191" s="8"/>
      <c r="I191" s="8"/>
      <c r="J191" s="8"/>
    </row>
    <row r="192">
      <c r="A192" s="8"/>
      <c r="B192" s="8" t="str">
        <f>IF(ISBLANK(A192),"",VLOOKUP(A192,DOI_URL!$B$1:$C$74,2,FALSE()))</f>
        <v/>
      </c>
      <c r="C192" s="8"/>
      <c r="D192" s="8"/>
      <c r="I192" s="8"/>
      <c r="J192" s="8"/>
    </row>
    <row r="193">
      <c r="A193" s="8"/>
      <c r="B193" s="8" t="str">
        <f>IF(ISBLANK(A193),"",VLOOKUP(A193,DOI_URL!$B$1:$C$74,2,FALSE()))</f>
        <v/>
      </c>
      <c r="C193" s="8"/>
      <c r="D193" s="8"/>
      <c r="I193" s="8"/>
      <c r="J193" s="8"/>
    </row>
    <row r="194">
      <c r="A194" s="8"/>
      <c r="B194" s="8" t="str">
        <f>IF(ISBLANK(A194),"",VLOOKUP(A194,DOI_URL!$B$1:$C$74,2,FALSE()))</f>
        <v/>
      </c>
      <c r="C194" s="8"/>
      <c r="D194" s="8"/>
      <c r="I194" s="8"/>
      <c r="J194" s="8"/>
    </row>
    <row r="195">
      <c r="A195" s="8"/>
      <c r="B195" s="8" t="str">
        <f>IF(ISBLANK(A195),"",VLOOKUP(A195,DOI_URL!$B$1:$C$74,2,FALSE()))</f>
        <v/>
      </c>
      <c r="C195" s="8"/>
      <c r="D195" s="8"/>
      <c r="I195" s="8"/>
      <c r="J195" s="8"/>
    </row>
    <row r="196">
      <c r="A196" s="8"/>
      <c r="B196" s="8" t="str">
        <f>IF(ISBLANK(A196),"",VLOOKUP(A196,DOI_URL!$B$1:$C$74,2,FALSE()))</f>
        <v/>
      </c>
      <c r="C196" s="8"/>
      <c r="D196" s="8"/>
      <c r="I196" s="8"/>
      <c r="J196" s="8"/>
    </row>
    <row r="197">
      <c r="A197" s="8"/>
      <c r="B197" s="8" t="str">
        <f>IF(ISBLANK(A197),"",VLOOKUP(A197,DOI_URL!$B$1:$C$74,2,FALSE()))</f>
        <v/>
      </c>
      <c r="C197" s="8"/>
      <c r="D197" s="8"/>
      <c r="I197" s="8"/>
      <c r="J197" s="8"/>
    </row>
    <row r="198">
      <c r="A198" s="8"/>
      <c r="B198" s="8" t="str">
        <f>IF(ISBLANK(A198),"",VLOOKUP(A198,DOI_URL!$B$1:$C$74,2,FALSE()))</f>
        <v/>
      </c>
      <c r="C198" s="8"/>
      <c r="D198" s="8"/>
      <c r="I198" s="8"/>
      <c r="J198" s="8"/>
    </row>
    <row r="199">
      <c r="A199" s="8"/>
      <c r="B199" s="8" t="str">
        <f>IF(ISBLANK(A199),"",VLOOKUP(A199,DOI_URL!$B$1:$C$74,2,FALSE()))</f>
        <v/>
      </c>
      <c r="C199" s="8"/>
      <c r="D199" s="8"/>
      <c r="I199" s="8"/>
      <c r="J199" s="8"/>
    </row>
    <row r="200">
      <c r="A200" s="8"/>
      <c r="B200" s="8" t="str">
        <f>IF(ISBLANK(A200),"",VLOOKUP(A200,DOI_URL!$B$1:$C$74,2,FALSE()))</f>
        <v/>
      </c>
      <c r="C200" s="8"/>
      <c r="D200" s="8"/>
      <c r="I200" s="8"/>
      <c r="J200" s="8"/>
    </row>
    <row r="201">
      <c r="A201" s="8"/>
      <c r="B201" s="8" t="str">
        <f>IF(ISBLANK(A201),"",VLOOKUP(A201,DOI_URL!$B$1:$C$74,2,FALSE()))</f>
        <v/>
      </c>
      <c r="C201" s="8"/>
      <c r="D201" s="8"/>
      <c r="I201" s="8"/>
      <c r="J201" s="8"/>
    </row>
    <row r="202">
      <c r="A202" s="8"/>
      <c r="B202" s="8" t="str">
        <f>IF(ISBLANK(A202),"",VLOOKUP(A202,DOI_URL!$B$1:$C$74,2,FALSE()))</f>
        <v/>
      </c>
      <c r="C202" s="8"/>
      <c r="D202" s="8"/>
      <c r="I202" s="8"/>
      <c r="J202" s="8"/>
    </row>
    <row r="203">
      <c r="A203" s="8"/>
      <c r="B203" s="8" t="str">
        <f>IF(ISBLANK(A203),"",VLOOKUP(A203,DOI_URL!$B$1:$C$74,2,FALSE()))</f>
        <v/>
      </c>
      <c r="C203" s="8"/>
      <c r="D203" s="8"/>
      <c r="I203" s="8"/>
      <c r="J203" s="8"/>
    </row>
    <row r="204">
      <c r="A204" s="8"/>
      <c r="B204" s="8" t="str">
        <f>IF(ISBLANK(A204),"",VLOOKUP(A204,DOI_URL!$B$1:$C$74,2,FALSE()))</f>
        <v/>
      </c>
      <c r="C204" s="8"/>
      <c r="D204" s="8"/>
      <c r="I204" s="8"/>
      <c r="J204" s="8"/>
    </row>
    <row r="205">
      <c r="A205" s="8"/>
      <c r="B205" s="8" t="str">
        <f>IF(ISBLANK(A205),"",VLOOKUP(A205,DOI_URL!$B$1:$C$74,2,FALSE()))</f>
        <v/>
      </c>
      <c r="C205" s="8"/>
      <c r="D205" s="8"/>
      <c r="I205" s="8"/>
      <c r="J205" s="8"/>
    </row>
    <row r="206">
      <c r="A206" s="8"/>
      <c r="B206" s="8" t="str">
        <f>IF(ISBLANK(A206),"",VLOOKUP(A206,DOI_URL!$B$1:$C$74,2,FALSE()))</f>
        <v/>
      </c>
      <c r="C206" s="8"/>
      <c r="D206" s="8"/>
      <c r="I206" s="8"/>
      <c r="J206" s="8"/>
    </row>
    <row r="207">
      <c r="A207" s="8"/>
      <c r="B207" s="8" t="str">
        <f>IF(ISBLANK(A207),"",VLOOKUP(A207,DOI_URL!$B$1:$C$74,2,FALSE()))</f>
        <v/>
      </c>
      <c r="C207" s="8"/>
      <c r="D207" s="8"/>
      <c r="I207" s="8"/>
      <c r="J207" s="8"/>
    </row>
    <row r="208">
      <c r="A208" s="8"/>
      <c r="B208" s="8" t="str">
        <f>IF(ISBLANK(A208),"",VLOOKUP(A208,DOI_URL!$B$1:$C$74,2,FALSE()))</f>
        <v/>
      </c>
      <c r="C208" s="8"/>
      <c r="D208" s="8"/>
      <c r="I208" s="8"/>
      <c r="J208" s="8"/>
    </row>
    <row r="209">
      <c r="A209" s="8"/>
      <c r="B209" s="8" t="str">
        <f>IF(ISBLANK(A209),"",VLOOKUP(A209,DOI_URL!$B$1:$C$74,2,FALSE()))</f>
        <v/>
      </c>
      <c r="C209" s="8"/>
      <c r="D209" s="8"/>
      <c r="I209" s="8"/>
      <c r="J209" s="8"/>
    </row>
    <row r="210">
      <c r="A210" s="8"/>
      <c r="B210" s="8" t="str">
        <f>IF(ISBLANK(A210),"",VLOOKUP(A210,DOI_URL!$B$1:$C$74,2,FALSE()))</f>
        <v/>
      </c>
      <c r="C210" s="8"/>
      <c r="D210" s="8"/>
      <c r="I210" s="8"/>
      <c r="J210" s="8"/>
    </row>
    <row r="211">
      <c r="A211" s="8"/>
      <c r="B211" s="8" t="str">
        <f>IF(ISBLANK(A211),"",VLOOKUP(A211,DOI_URL!$B$1:$C$74,2,FALSE()))</f>
        <v/>
      </c>
      <c r="C211" s="8"/>
      <c r="D211" s="8"/>
      <c r="I211" s="8"/>
      <c r="J211" s="8"/>
    </row>
    <row r="212">
      <c r="A212" s="8"/>
      <c r="B212" s="8" t="str">
        <f>IF(ISBLANK(A212),"",VLOOKUP(A212,DOI_URL!$B$1:$C$74,2,FALSE()))</f>
        <v/>
      </c>
      <c r="C212" s="8"/>
      <c r="D212" s="8"/>
      <c r="I212" s="8"/>
      <c r="J212" s="8"/>
    </row>
    <row r="213">
      <c r="A213" s="8"/>
      <c r="B213" s="8" t="str">
        <f>IF(ISBLANK(A213),"",VLOOKUP(A213,DOI_URL!$B$1:$C$74,2,FALSE()))</f>
        <v/>
      </c>
      <c r="C213" s="8"/>
      <c r="D213" s="8"/>
      <c r="I213" s="8"/>
      <c r="J213" s="8"/>
    </row>
    <row r="214">
      <c r="A214" s="8"/>
      <c r="B214" s="8" t="str">
        <f>IF(ISBLANK(A214),"",VLOOKUP(A214,DOI_URL!$B$1:$C$74,2,FALSE()))</f>
        <v/>
      </c>
      <c r="C214" s="8"/>
      <c r="D214" s="8"/>
      <c r="I214" s="8"/>
      <c r="J214" s="8"/>
    </row>
    <row r="215">
      <c r="A215" s="8"/>
      <c r="B215" s="8" t="str">
        <f>IF(ISBLANK(A215),"",VLOOKUP(A215,DOI_URL!$B$1:$C$74,2,FALSE()))</f>
        <v/>
      </c>
      <c r="C215" s="8"/>
      <c r="D215" s="8"/>
      <c r="I215" s="8"/>
      <c r="J215" s="8"/>
    </row>
    <row r="216">
      <c r="A216" s="8"/>
      <c r="B216" s="8" t="str">
        <f>IF(ISBLANK(A216),"",VLOOKUP(A216,DOI_URL!$B$1:$C$74,2,FALSE()))</f>
        <v/>
      </c>
      <c r="C216" s="8"/>
      <c r="D216" s="8"/>
      <c r="I216" s="8"/>
      <c r="J216" s="8"/>
    </row>
    <row r="217">
      <c r="A217" s="8"/>
      <c r="B217" s="8" t="str">
        <f>IF(ISBLANK(A217),"",VLOOKUP(A217,DOI_URL!$B$1:$C$74,2,FALSE()))</f>
        <v/>
      </c>
      <c r="C217" s="8"/>
      <c r="D217" s="8"/>
      <c r="I217" s="8"/>
      <c r="J217" s="8"/>
    </row>
    <row r="218">
      <c r="A218" s="8"/>
      <c r="B218" s="8" t="str">
        <f>IF(ISBLANK(A218),"",VLOOKUP(A218,DOI_URL!$B$1:$C$74,2,FALSE()))</f>
        <v/>
      </c>
      <c r="C218" s="8"/>
      <c r="D218" s="8"/>
      <c r="I218" s="8"/>
      <c r="J218" s="8"/>
    </row>
    <row r="219">
      <c r="A219" s="8"/>
      <c r="B219" s="8" t="str">
        <f>IF(ISBLANK(A219),"",VLOOKUP(A219,DOI_URL!$B$1:$C$74,2,FALSE()))</f>
        <v/>
      </c>
      <c r="C219" s="8"/>
      <c r="D219" s="8"/>
      <c r="I219" s="8"/>
      <c r="J219" s="8"/>
    </row>
    <row r="220">
      <c r="A220" s="8"/>
      <c r="B220" s="8" t="str">
        <f>IF(ISBLANK(A220),"",VLOOKUP(A220,DOI_URL!$B$1:$C$74,2,FALSE()))</f>
        <v/>
      </c>
      <c r="C220" s="8"/>
      <c r="D220" s="8"/>
      <c r="I220" s="8"/>
      <c r="J220" s="8"/>
    </row>
    <row r="221">
      <c r="A221" s="8"/>
      <c r="B221" s="8" t="str">
        <f>IF(ISBLANK(A221),"",VLOOKUP(A221,DOI_URL!$B$1:$C$74,2,FALSE()))</f>
        <v/>
      </c>
      <c r="C221" s="8"/>
      <c r="D221" s="8"/>
      <c r="I221" s="8"/>
      <c r="J221" s="8"/>
    </row>
    <row r="222">
      <c r="A222" s="8"/>
      <c r="B222" s="8" t="str">
        <f>IF(ISBLANK(A222),"",VLOOKUP(A222,DOI_URL!$B$1:$C$74,2,FALSE()))</f>
        <v/>
      </c>
      <c r="C222" s="8"/>
      <c r="D222" s="8"/>
      <c r="I222" s="8"/>
      <c r="J222" s="8"/>
    </row>
    <row r="223">
      <c r="A223" s="8"/>
      <c r="B223" s="8" t="str">
        <f>IF(ISBLANK(A223),"",VLOOKUP(A223,DOI_URL!$B$1:$C$74,2,FALSE()))</f>
        <v/>
      </c>
      <c r="C223" s="8"/>
      <c r="D223" s="8"/>
      <c r="I223" s="8"/>
      <c r="J223" s="8"/>
    </row>
    <row r="224">
      <c r="A224" s="8"/>
      <c r="B224" s="8" t="str">
        <f>IF(ISBLANK(A224),"",VLOOKUP(A224,DOI_URL!$B$1:$C$74,2,FALSE()))</f>
        <v/>
      </c>
      <c r="C224" s="8"/>
      <c r="D224" s="8"/>
      <c r="I224" s="8"/>
      <c r="J224" s="8"/>
    </row>
    <row r="225">
      <c r="A225" s="8"/>
      <c r="B225" s="8" t="str">
        <f>IF(ISBLANK(A225),"",VLOOKUP(A225,DOI_URL!$B$1:$C$74,2,FALSE()))</f>
        <v/>
      </c>
      <c r="C225" s="8"/>
      <c r="D225" s="8"/>
      <c r="I225" s="8"/>
      <c r="J225" s="8"/>
    </row>
    <row r="226">
      <c r="A226" s="8"/>
      <c r="B226" s="8" t="str">
        <f>IF(ISBLANK(A226),"",VLOOKUP(A226,DOI_URL!$B$1:$C$74,2,FALSE()))</f>
        <v/>
      </c>
      <c r="C226" s="8"/>
      <c r="D226" s="8"/>
      <c r="I226" s="8"/>
      <c r="J226" s="8"/>
    </row>
    <row r="227">
      <c r="A227" s="8"/>
      <c r="B227" s="8" t="str">
        <f>IF(ISBLANK(A227),"",VLOOKUP(A227,DOI_URL!$B$1:$C$74,2,FALSE()))</f>
        <v/>
      </c>
      <c r="C227" s="8"/>
      <c r="D227" s="8"/>
      <c r="I227" s="8"/>
      <c r="J227" s="8"/>
    </row>
    <row r="228">
      <c r="A228" s="8"/>
      <c r="B228" s="8" t="str">
        <f>IF(ISBLANK(A228),"",VLOOKUP(A228,DOI_URL!$B$1:$C$74,2,FALSE()))</f>
        <v/>
      </c>
      <c r="C228" s="8"/>
      <c r="D228" s="8"/>
      <c r="I228" s="8"/>
      <c r="J228" s="8"/>
    </row>
    <row r="229">
      <c r="A229" s="8"/>
      <c r="B229" s="8" t="str">
        <f>IF(ISBLANK(A229),"",VLOOKUP(A229,DOI_URL!$B$1:$C$74,2,FALSE()))</f>
        <v/>
      </c>
      <c r="C229" s="8"/>
      <c r="D229" s="8"/>
      <c r="I229" s="8"/>
      <c r="J229" s="8"/>
    </row>
    <row r="230">
      <c r="A230" s="8"/>
      <c r="B230" s="8" t="str">
        <f>IF(ISBLANK(A230),"",VLOOKUP(A230,DOI_URL!$B$1:$C$74,2,FALSE()))</f>
        <v/>
      </c>
      <c r="C230" s="8"/>
      <c r="D230" s="8"/>
      <c r="I230" s="8"/>
      <c r="J230" s="8"/>
    </row>
    <row r="231">
      <c r="A231" s="8"/>
      <c r="B231" s="8" t="str">
        <f>IF(ISBLANK(A231),"",VLOOKUP(A231,DOI_URL!$B$1:$C$74,2,FALSE()))</f>
        <v/>
      </c>
      <c r="C231" s="8"/>
      <c r="D231" s="8"/>
      <c r="I231" s="8"/>
      <c r="J231" s="8"/>
    </row>
    <row r="232">
      <c r="A232" s="8"/>
      <c r="B232" s="8" t="str">
        <f>IF(ISBLANK(A232),"",VLOOKUP(A232,DOI_URL!$B$1:$C$74,2,FALSE()))</f>
        <v/>
      </c>
      <c r="C232" s="8"/>
      <c r="D232" s="8"/>
      <c r="I232" s="8"/>
      <c r="J232" s="8"/>
    </row>
    <row r="233">
      <c r="A233" s="8"/>
      <c r="B233" s="8" t="str">
        <f>IF(ISBLANK(A233),"",VLOOKUP(A233,DOI_URL!$B$1:$C$74,2,FALSE()))</f>
        <v/>
      </c>
      <c r="C233" s="8"/>
      <c r="D233" s="8"/>
      <c r="I233" s="8"/>
      <c r="J233" s="8"/>
    </row>
    <row r="234">
      <c r="A234" s="8"/>
      <c r="B234" s="8" t="str">
        <f>IF(ISBLANK(A234),"",VLOOKUP(A234,DOI_URL!$B$1:$C$74,2,FALSE()))</f>
        <v/>
      </c>
      <c r="C234" s="8"/>
      <c r="D234" s="8"/>
      <c r="I234" s="8"/>
      <c r="J234" s="8"/>
    </row>
    <row r="235">
      <c r="A235" s="8"/>
      <c r="B235" s="8" t="str">
        <f>IF(ISBLANK(A235),"",VLOOKUP(A235,DOI_URL!$B$1:$C$74,2,FALSE()))</f>
        <v/>
      </c>
      <c r="C235" s="8"/>
      <c r="D235" s="8"/>
      <c r="I235" s="8"/>
      <c r="J235" s="8"/>
    </row>
    <row r="236">
      <c r="A236" s="8"/>
      <c r="B236" s="8" t="str">
        <f>IF(ISBLANK(A236),"",VLOOKUP(A236,DOI_URL!$B$1:$C$74,2,FALSE()))</f>
        <v/>
      </c>
      <c r="C236" s="8"/>
      <c r="D236" s="8"/>
      <c r="I236" s="8"/>
      <c r="J236" s="8"/>
    </row>
    <row r="237">
      <c r="A237" s="8"/>
      <c r="B237" s="8" t="str">
        <f>IF(ISBLANK(A237),"",VLOOKUP(A237,DOI_URL!$B$1:$C$74,2,FALSE()))</f>
        <v/>
      </c>
      <c r="C237" s="8"/>
      <c r="D237" s="8"/>
      <c r="I237" s="8"/>
      <c r="J237" s="8"/>
    </row>
    <row r="238">
      <c r="A238" s="8"/>
      <c r="B238" s="8" t="str">
        <f>IF(ISBLANK(A238),"",VLOOKUP(A238,DOI_URL!$B$1:$C$74,2,FALSE()))</f>
        <v/>
      </c>
      <c r="C238" s="8"/>
      <c r="D238" s="8"/>
      <c r="I238" s="8"/>
      <c r="J238" s="8"/>
    </row>
    <row r="239">
      <c r="A239" s="8"/>
      <c r="B239" s="8" t="str">
        <f>IF(ISBLANK(A239),"",VLOOKUP(A239,DOI_URL!$B$1:$C$74,2,FALSE()))</f>
        <v/>
      </c>
      <c r="C239" s="8"/>
      <c r="D239" s="8"/>
      <c r="I239" s="8"/>
      <c r="J239" s="8"/>
    </row>
    <row r="240">
      <c r="A240" s="8"/>
      <c r="B240" s="8" t="str">
        <f>IF(ISBLANK(A240),"",VLOOKUP(A240,DOI_URL!$B$1:$C$74,2,FALSE()))</f>
        <v/>
      </c>
      <c r="C240" s="8"/>
      <c r="D240" s="8"/>
      <c r="I240" s="8"/>
      <c r="J240" s="8"/>
    </row>
    <row r="241">
      <c r="A241" s="8"/>
      <c r="B241" s="8" t="str">
        <f>IF(ISBLANK(A241),"",VLOOKUP(A241,DOI_URL!$B$1:$C$74,2,FALSE()))</f>
        <v/>
      </c>
      <c r="C241" s="8"/>
      <c r="D241" s="8"/>
      <c r="I241" s="8"/>
      <c r="J241" s="8"/>
    </row>
    <row r="242">
      <c r="A242" s="8"/>
      <c r="B242" s="8" t="str">
        <f>IF(ISBLANK(A242),"",VLOOKUP(A242,DOI_URL!$B$1:$C$74,2,FALSE()))</f>
        <v/>
      </c>
      <c r="C242" s="8"/>
      <c r="D242" s="8"/>
      <c r="I242" s="8"/>
      <c r="J242" s="8"/>
    </row>
    <row r="243">
      <c r="A243" s="8"/>
      <c r="B243" s="8" t="str">
        <f>IF(ISBLANK(A243),"",VLOOKUP(A243,DOI_URL!$B$1:$C$74,2,FALSE()))</f>
        <v/>
      </c>
      <c r="C243" s="8"/>
      <c r="D243" s="8"/>
      <c r="I243" s="8"/>
      <c r="J243" s="8"/>
    </row>
    <row r="244">
      <c r="A244" s="8"/>
      <c r="B244" s="8" t="str">
        <f>IF(ISBLANK(A244),"",VLOOKUP(A244,DOI_URL!$B$1:$C$74,2,FALSE()))</f>
        <v/>
      </c>
      <c r="C244" s="8"/>
      <c r="D244" s="8"/>
      <c r="I244" s="8"/>
      <c r="J244" s="8"/>
    </row>
    <row r="245">
      <c r="A245" s="8"/>
      <c r="B245" s="8" t="str">
        <f>IF(ISBLANK(A245),"",VLOOKUP(A245,DOI_URL!$B$1:$C$74,2,FALSE()))</f>
        <v/>
      </c>
      <c r="C245" s="8"/>
      <c r="D245" s="8"/>
      <c r="I245" s="8"/>
      <c r="J245" s="8"/>
    </row>
    <row r="246">
      <c r="A246" s="8"/>
      <c r="B246" s="8" t="str">
        <f>IF(ISBLANK(A246),"",VLOOKUP(A246,DOI_URL!$B$1:$C$74,2,FALSE()))</f>
        <v/>
      </c>
      <c r="C246" s="8"/>
      <c r="D246" s="8"/>
      <c r="I246" s="8"/>
      <c r="J246" s="8"/>
    </row>
    <row r="247">
      <c r="A247" s="8"/>
      <c r="B247" s="8" t="str">
        <f>IF(ISBLANK(A247),"",VLOOKUP(A247,DOI_URL!$B$1:$C$74,2,FALSE()))</f>
        <v/>
      </c>
      <c r="C247" s="8"/>
      <c r="D247" s="8"/>
      <c r="I247" s="8"/>
      <c r="J247" s="8"/>
    </row>
    <row r="248">
      <c r="A248" s="8"/>
      <c r="B248" s="8" t="str">
        <f>IF(ISBLANK(A248),"",VLOOKUP(A248,DOI_URL!$B$1:$C$74,2,FALSE()))</f>
        <v/>
      </c>
      <c r="C248" s="8"/>
      <c r="D248" s="8"/>
      <c r="I248" s="8"/>
      <c r="J248" s="8"/>
    </row>
    <row r="249">
      <c r="A249" s="8"/>
      <c r="B249" s="8" t="str">
        <f>IF(ISBLANK(A249),"",VLOOKUP(A249,DOI_URL!$B$1:$C$74,2,FALSE()))</f>
        <v/>
      </c>
      <c r="C249" s="8"/>
      <c r="D249" s="8"/>
      <c r="I249" s="8"/>
      <c r="J249" s="8"/>
    </row>
    <row r="250">
      <c r="A250" s="8"/>
      <c r="B250" s="8" t="str">
        <f>IF(ISBLANK(A250),"",VLOOKUP(A250,DOI_URL!$B$1:$C$74,2,FALSE()))</f>
        <v/>
      </c>
      <c r="C250" s="8"/>
      <c r="D250" s="8"/>
      <c r="I250" s="8"/>
      <c r="J250" s="8"/>
    </row>
    <row r="251">
      <c r="A251" s="8"/>
      <c r="B251" s="8" t="str">
        <f>IF(ISBLANK(A251),"",VLOOKUP(A251,DOI_URL!$B$1:$C$74,2,FALSE()))</f>
        <v/>
      </c>
      <c r="C251" s="8"/>
      <c r="D251" s="8"/>
      <c r="I251" s="8"/>
      <c r="J251" s="8"/>
    </row>
    <row r="252">
      <c r="A252" s="8"/>
      <c r="B252" s="8" t="str">
        <f>IF(ISBLANK(A252),"",VLOOKUP(A252,DOI_URL!$B$1:$C$74,2,FALSE()))</f>
        <v/>
      </c>
      <c r="C252" s="8"/>
      <c r="D252" s="8"/>
      <c r="I252" s="8"/>
      <c r="J252" s="8"/>
    </row>
    <row r="253">
      <c r="A253" s="8"/>
      <c r="B253" s="8" t="str">
        <f>IF(ISBLANK(A253),"",VLOOKUP(A253,DOI_URL!$B$1:$C$74,2,FALSE()))</f>
        <v/>
      </c>
      <c r="C253" s="8"/>
      <c r="D253" s="8"/>
      <c r="I253" s="8"/>
      <c r="J253" s="8"/>
    </row>
    <row r="254">
      <c r="A254" s="8"/>
      <c r="B254" s="8" t="str">
        <f>IF(ISBLANK(A254),"",VLOOKUP(A254,DOI_URL!$B$1:$C$74,2,FALSE()))</f>
        <v/>
      </c>
      <c r="C254" s="8"/>
      <c r="D254" s="8"/>
      <c r="I254" s="8"/>
      <c r="J254" s="8"/>
    </row>
    <row r="255">
      <c r="A255" s="8"/>
      <c r="B255" s="8" t="str">
        <f>IF(ISBLANK(A255),"",VLOOKUP(A255,DOI_URL!$B$1:$C$74,2,FALSE()))</f>
        <v/>
      </c>
      <c r="C255" s="8"/>
      <c r="D255" s="8"/>
      <c r="I255" s="8"/>
      <c r="J255" s="8"/>
    </row>
    <row r="256">
      <c r="A256" s="8"/>
      <c r="B256" s="8" t="str">
        <f>IF(ISBLANK(A256),"",VLOOKUP(A256,DOI_URL!$B$1:$C$74,2,FALSE()))</f>
        <v/>
      </c>
      <c r="C256" s="8"/>
      <c r="D256" s="8"/>
      <c r="I256" s="8"/>
      <c r="J256" s="8"/>
    </row>
    <row r="257">
      <c r="A257" s="8"/>
      <c r="B257" s="8" t="str">
        <f>IF(ISBLANK(A257),"",VLOOKUP(A257,DOI_URL!$B$1:$C$74,2,FALSE()))</f>
        <v/>
      </c>
      <c r="C257" s="8"/>
      <c r="D257" s="8"/>
      <c r="I257" s="8"/>
      <c r="J257" s="8"/>
    </row>
    <row r="258">
      <c r="A258" s="8"/>
      <c r="B258" s="8" t="str">
        <f>IF(ISBLANK(A258),"",VLOOKUP(A258,DOI_URL!$B$1:$C$74,2,FALSE()))</f>
        <v/>
      </c>
      <c r="C258" s="8"/>
      <c r="D258" s="8"/>
      <c r="I258" s="8"/>
      <c r="J258" s="8"/>
    </row>
    <row r="259">
      <c r="A259" s="8"/>
      <c r="B259" s="8" t="str">
        <f>IF(ISBLANK(A259),"",VLOOKUP(A259,DOI_URL!$B$1:$C$74,2,FALSE()))</f>
        <v/>
      </c>
      <c r="C259" s="8"/>
      <c r="D259" s="8"/>
      <c r="I259" s="8"/>
      <c r="J259" s="8"/>
    </row>
    <row r="260">
      <c r="A260" s="8"/>
      <c r="B260" s="8" t="str">
        <f>IF(ISBLANK(A260),"",VLOOKUP(A260,DOI_URL!$B$1:$C$74,2,FALSE()))</f>
        <v/>
      </c>
      <c r="C260" s="8"/>
      <c r="D260" s="8"/>
      <c r="I260" s="8"/>
      <c r="J260" s="8"/>
    </row>
    <row r="261">
      <c r="A261" s="8"/>
      <c r="B261" s="8" t="str">
        <f>IF(ISBLANK(A261),"",VLOOKUP(A261,DOI_URL!$B$1:$C$74,2,FALSE()))</f>
        <v/>
      </c>
      <c r="C261" s="8"/>
      <c r="D261" s="8"/>
      <c r="I261" s="8"/>
      <c r="J261" s="8"/>
    </row>
    <row r="262">
      <c r="A262" s="8"/>
      <c r="B262" s="8" t="str">
        <f>IF(ISBLANK(A262),"",VLOOKUP(A262,DOI_URL!$B$1:$C$74,2,FALSE()))</f>
        <v/>
      </c>
      <c r="C262" s="8"/>
      <c r="D262" s="8"/>
      <c r="I262" s="8"/>
      <c r="J262" s="8"/>
    </row>
    <row r="263">
      <c r="A263" s="8"/>
      <c r="B263" s="8" t="str">
        <f>IF(ISBLANK(A263),"",VLOOKUP(A263,DOI_URL!$B$1:$C$74,2,FALSE()))</f>
        <v/>
      </c>
      <c r="C263" s="8"/>
      <c r="D263" s="8"/>
      <c r="I263" s="8"/>
      <c r="J263" s="8"/>
    </row>
    <row r="264">
      <c r="A264" s="8"/>
      <c r="B264" s="8" t="str">
        <f>IF(ISBLANK(A264),"",VLOOKUP(A264,DOI_URL!$B$1:$C$74,2,FALSE()))</f>
        <v/>
      </c>
      <c r="C264" s="8"/>
      <c r="D264" s="8"/>
      <c r="I264" s="8"/>
      <c r="J264" s="8"/>
    </row>
    <row r="265">
      <c r="A265" s="8"/>
      <c r="B265" s="8" t="str">
        <f>IF(ISBLANK(A265),"",VLOOKUP(A265,DOI_URL!$B$1:$C$74,2,FALSE()))</f>
        <v/>
      </c>
      <c r="C265" s="8"/>
      <c r="D265" s="8"/>
      <c r="I265" s="8"/>
      <c r="J265" s="8"/>
    </row>
    <row r="266">
      <c r="A266" s="8"/>
      <c r="B266" s="8" t="str">
        <f>IF(ISBLANK(A266),"",VLOOKUP(A266,DOI_URL!$B$1:$C$74,2,FALSE()))</f>
        <v/>
      </c>
      <c r="C266" s="8"/>
      <c r="D266" s="8"/>
      <c r="I266" s="8"/>
      <c r="J266" s="8"/>
    </row>
    <row r="267">
      <c r="A267" s="8"/>
      <c r="B267" s="8" t="str">
        <f>IF(ISBLANK(A267),"",VLOOKUP(A267,DOI_URL!$B$1:$C$74,2,FALSE()))</f>
        <v/>
      </c>
      <c r="C267" s="8"/>
      <c r="D267" s="8"/>
      <c r="I267" s="8"/>
      <c r="J267" s="8"/>
    </row>
    <row r="268">
      <c r="A268" s="8"/>
      <c r="B268" s="8" t="str">
        <f>IF(ISBLANK(A268),"",VLOOKUP(A268,DOI_URL!$B$1:$C$74,2,FALSE()))</f>
        <v/>
      </c>
      <c r="C268" s="8"/>
      <c r="D268" s="8"/>
      <c r="I268" s="8"/>
      <c r="J268" s="8"/>
    </row>
    <row r="269">
      <c r="A269" s="8"/>
      <c r="B269" s="8" t="str">
        <f>IF(ISBLANK(A269),"",VLOOKUP(A269,DOI_URL!$B$1:$C$74,2,FALSE()))</f>
        <v/>
      </c>
      <c r="C269" s="8"/>
      <c r="D269" s="8"/>
      <c r="I269" s="8"/>
      <c r="J269" s="8"/>
    </row>
    <row r="270">
      <c r="A270" s="8"/>
      <c r="B270" s="8" t="str">
        <f>IF(ISBLANK(A270),"",VLOOKUP(A270,DOI_URL!$B$1:$C$74,2,FALSE()))</f>
        <v/>
      </c>
      <c r="C270" s="8"/>
      <c r="D270" s="8"/>
      <c r="I270" s="8"/>
      <c r="J270" s="8"/>
    </row>
    <row r="271">
      <c r="A271" s="8"/>
      <c r="B271" s="8" t="str">
        <f>IF(ISBLANK(A271),"",VLOOKUP(A271,DOI_URL!$B$1:$C$74,2,FALSE()))</f>
        <v/>
      </c>
      <c r="C271" s="8"/>
      <c r="D271" s="8"/>
      <c r="I271" s="8"/>
      <c r="J271" s="8"/>
    </row>
    <row r="272">
      <c r="A272" s="8"/>
      <c r="B272" s="8" t="str">
        <f>IF(ISBLANK(A272),"",VLOOKUP(A272,DOI_URL!$B$1:$C$74,2,FALSE()))</f>
        <v/>
      </c>
      <c r="C272" s="8"/>
      <c r="D272" s="8"/>
      <c r="I272" s="8"/>
      <c r="J272" s="8"/>
    </row>
    <row r="273">
      <c r="A273" s="8"/>
      <c r="B273" s="8" t="str">
        <f>IF(ISBLANK(A273),"",VLOOKUP(A273,DOI_URL!$B$1:$C$74,2,FALSE()))</f>
        <v/>
      </c>
      <c r="C273" s="8"/>
      <c r="D273" s="8"/>
      <c r="I273" s="8"/>
      <c r="J273" s="8"/>
    </row>
    <row r="274">
      <c r="A274" s="8"/>
      <c r="B274" s="8" t="str">
        <f>IF(ISBLANK(A274),"",VLOOKUP(A274,DOI_URL!$B$1:$C$74,2,FALSE()))</f>
        <v/>
      </c>
      <c r="C274" s="8"/>
      <c r="D274" s="8"/>
      <c r="I274" s="8"/>
      <c r="J274" s="8"/>
    </row>
    <row r="275">
      <c r="A275" s="8"/>
      <c r="B275" s="8" t="str">
        <f>IF(ISBLANK(A275),"",VLOOKUP(A275,DOI_URL!$B$1:$C$74,2,FALSE()))</f>
        <v/>
      </c>
      <c r="C275" s="8"/>
      <c r="D275" s="8"/>
      <c r="I275" s="8"/>
      <c r="J275" s="8"/>
    </row>
    <row r="276">
      <c r="A276" s="8"/>
      <c r="B276" s="8" t="str">
        <f>IF(ISBLANK(A276),"",VLOOKUP(A276,DOI_URL!$B$1:$C$74,2,FALSE()))</f>
        <v/>
      </c>
      <c r="C276" s="8"/>
      <c r="D276" s="8"/>
      <c r="I276" s="8"/>
      <c r="J276" s="8"/>
    </row>
    <row r="277">
      <c r="A277" s="8"/>
      <c r="B277" s="8" t="str">
        <f>IF(ISBLANK(A277),"",VLOOKUP(A277,DOI_URL!$B$1:$C$74,2,FALSE()))</f>
        <v/>
      </c>
      <c r="C277" s="8"/>
      <c r="D277" s="8"/>
      <c r="I277" s="8"/>
      <c r="J277" s="8"/>
    </row>
    <row r="278">
      <c r="A278" s="8"/>
      <c r="B278" s="8" t="str">
        <f>IF(ISBLANK(A278),"",VLOOKUP(A278,DOI_URL!$B$1:$C$74,2,FALSE()))</f>
        <v/>
      </c>
      <c r="C278" s="8"/>
      <c r="D278" s="8"/>
      <c r="I278" s="8"/>
      <c r="J278" s="8"/>
    </row>
    <row r="279">
      <c r="A279" s="8"/>
      <c r="B279" s="8" t="str">
        <f>IF(ISBLANK(A279),"",VLOOKUP(A279,DOI_URL!$B$1:$C$74,2,FALSE()))</f>
        <v/>
      </c>
      <c r="C279" s="8"/>
      <c r="D279" s="8"/>
      <c r="I279" s="8"/>
      <c r="J279" s="8"/>
    </row>
    <row r="280">
      <c r="A280" s="8"/>
      <c r="B280" s="8" t="str">
        <f>IF(ISBLANK(A280),"",VLOOKUP(A280,DOI_URL!$B$1:$C$74,2,FALSE()))</f>
        <v/>
      </c>
      <c r="C280" s="8"/>
      <c r="D280" s="8"/>
      <c r="I280" s="8"/>
      <c r="J280" s="8"/>
    </row>
    <row r="281">
      <c r="A281" s="8"/>
      <c r="B281" s="8" t="str">
        <f>IF(ISBLANK(A281),"",VLOOKUP(A281,DOI_URL!$B$1:$C$74,2,FALSE()))</f>
        <v/>
      </c>
      <c r="C281" s="8"/>
      <c r="D281" s="8"/>
      <c r="I281" s="8"/>
      <c r="J281" s="8"/>
    </row>
    <row r="282">
      <c r="A282" s="8"/>
      <c r="B282" s="8" t="str">
        <f>IF(ISBLANK(A282),"",VLOOKUP(A282,DOI_URL!$B$1:$C$74,2,FALSE()))</f>
        <v/>
      </c>
      <c r="C282" s="8"/>
      <c r="D282" s="8"/>
      <c r="I282" s="8"/>
      <c r="J282" s="8"/>
    </row>
    <row r="283">
      <c r="A283" s="8"/>
      <c r="B283" s="8" t="str">
        <f>IF(ISBLANK(A283),"",VLOOKUP(A283,DOI_URL!$B$1:$C$74,2,FALSE()))</f>
        <v/>
      </c>
      <c r="C283" s="8"/>
      <c r="D283" s="8"/>
      <c r="I283" s="8"/>
      <c r="J283" s="8"/>
    </row>
    <row r="284">
      <c r="A284" s="8"/>
      <c r="B284" s="8" t="str">
        <f>IF(ISBLANK(A284),"",VLOOKUP(A284,DOI_URL!$B$1:$C$74,2,FALSE()))</f>
        <v/>
      </c>
      <c r="C284" s="8"/>
      <c r="D284" s="8"/>
      <c r="I284" s="8"/>
      <c r="J284" s="8"/>
    </row>
    <row r="285">
      <c r="A285" s="8"/>
      <c r="B285" s="8" t="str">
        <f>IF(ISBLANK(A285),"",VLOOKUP(A285,DOI_URL!$B$1:$C$74,2,FALSE()))</f>
        <v/>
      </c>
      <c r="C285" s="8"/>
      <c r="D285" s="8"/>
      <c r="I285" s="8"/>
      <c r="J285" s="8"/>
    </row>
    <row r="286">
      <c r="A286" s="8"/>
      <c r="B286" s="8" t="str">
        <f>IF(ISBLANK(A286),"",VLOOKUP(A286,DOI_URL!$B$1:$C$74,2,FALSE()))</f>
        <v/>
      </c>
      <c r="C286" s="8"/>
      <c r="D286" s="8"/>
      <c r="I286" s="8"/>
      <c r="J286" s="8"/>
    </row>
    <row r="287">
      <c r="A287" s="8"/>
      <c r="B287" s="8" t="str">
        <f>IF(ISBLANK(A287),"",VLOOKUP(A287,DOI_URL!$B$1:$C$74,2,FALSE()))</f>
        <v/>
      </c>
      <c r="C287" s="8"/>
      <c r="D287" s="8"/>
      <c r="I287" s="8"/>
      <c r="J287" s="8"/>
    </row>
    <row r="288">
      <c r="A288" s="8"/>
      <c r="B288" s="8" t="str">
        <f>IF(ISBLANK(A288),"",VLOOKUP(A288,DOI_URL!$B$1:$C$74,2,FALSE()))</f>
        <v/>
      </c>
      <c r="C288" s="8"/>
      <c r="D288" s="8"/>
      <c r="I288" s="8"/>
      <c r="J288" s="8"/>
    </row>
    <row r="289">
      <c r="A289" s="8"/>
      <c r="B289" s="8" t="str">
        <f>IF(ISBLANK(A289),"",VLOOKUP(A289,DOI_URL!$B$1:$C$74,2,FALSE()))</f>
        <v/>
      </c>
      <c r="C289" s="8"/>
      <c r="D289" s="8"/>
      <c r="I289" s="8"/>
      <c r="J289" s="8"/>
    </row>
    <row r="290">
      <c r="A290" s="8"/>
      <c r="B290" s="8" t="str">
        <f>IF(ISBLANK(A290),"",VLOOKUP(A290,DOI_URL!$B$1:$C$74,2,FALSE()))</f>
        <v/>
      </c>
      <c r="C290" s="8"/>
      <c r="D290" s="8"/>
      <c r="I290" s="8"/>
      <c r="J290" s="8"/>
    </row>
    <row r="291">
      <c r="A291" s="8"/>
      <c r="B291" s="8" t="str">
        <f>IF(ISBLANK(A291),"",VLOOKUP(A291,DOI_URL!$B$1:$C$74,2,FALSE()))</f>
        <v/>
      </c>
      <c r="C291" s="8"/>
      <c r="D291" s="8"/>
      <c r="I291" s="8"/>
      <c r="J291" s="8"/>
    </row>
    <row r="292">
      <c r="A292" s="8"/>
      <c r="B292" s="8" t="str">
        <f>IF(ISBLANK(A292),"",VLOOKUP(A292,DOI_URL!$B$1:$C$74,2,FALSE()))</f>
        <v/>
      </c>
      <c r="C292" s="8"/>
      <c r="D292" s="8"/>
      <c r="I292" s="8"/>
      <c r="J292" s="8"/>
    </row>
    <row r="293">
      <c r="A293" s="8"/>
      <c r="B293" s="8" t="str">
        <f>IF(ISBLANK(A293),"",VLOOKUP(A293,DOI_URL!$B$1:$C$74,2,FALSE()))</f>
        <v/>
      </c>
      <c r="C293" s="8"/>
      <c r="D293" s="8"/>
      <c r="I293" s="8"/>
      <c r="J293" s="8"/>
    </row>
    <row r="294">
      <c r="A294" s="8"/>
      <c r="B294" s="8" t="str">
        <f>IF(ISBLANK(A294),"",VLOOKUP(A294,DOI_URL!$B$1:$C$74,2,FALSE()))</f>
        <v/>
      </c>
      <c r="C294" s="8"/>
      <c r="D294" s="8"/>
      <c r="I294" s="8"/>
      <c r="J294" s="8"/>
    </row>
    <row r="295">
      <c r="A295" s="8"/>
      <c r="B295" s="8" t="str">
        <f>IF(ISBLANK(A295),"",VLOOKUP(A295,DOI_URL!$B$1:$C$74,2,FALSE()))</f>
        <v/>
      </c>
      <c r="C295" s="8"/>
      <c r="D295" s="8"/>
      <c r="I295" s="8"/>
      <c r="J295" s="8"/>
    </row>
    <row r="296">
      <c r="A296" s="8"/>
      <c r="B296" s="8" t="str">
        <f>IF(ISBLANK(A296),"",VLOOKUP(A296,DOI_URL!$B$1:$C$74,2,FALSE()))</f>
        <v/>
      </c>
      <c r="C296" s="8"/>
      <c r="D296" s="8"/>
      <c r="I296" s="8"/>
      <c r="J296" s="8"/>
    </row>
    <row r="297">
      <c r="A297" s="8"/>
      <c r="B297" s="8" t="str">
        <f>IF(ISBLANK(A297),"",VLOOKUP(A297,DOI_URL!$B$1:$C$74,2,FALSE()))</f>
        <v/>
      </c>
      <c r="C297" s="8"/>
      <c r="D297" s="8"/>
      <c r="I297" s="8"/>
      <c r="J297" s="8"/>
    </row>
    <row r="298">
      <c r="A298" s="8"/>
      <c r="B298" s="8" t="str">
        <f>IF(ISBLANK(A298),"",VLOOKUP(A298,DOI_URL!$B$1:$C$74,2,FALSE()))</f>
        <v/>
      </c>
      <c r="C298" s="8"/>
      <c r="D298" s="8"/>
      <c r="I298" s="8"/>
      <c r="J298" s="8"/>
    </row>
    <row r="299">
      <c r="A299" s="8"/>
      <c r="B299" s="8" t="str">
        <f>IF(ISBLANK(A299),"",VLOOKUP(A299,DOI_URL!$B$1:$C$74,2,FALSE()))</f>
        <v/>
      </c>
      <c r="C299" s="8"/>
      <c r="D299" s="8"/>
      <c r="I299" s="8"/>
      <c r="J299" s="8"/>
    </row>
    <row r="300">
      <c r="A300" s="8"/>
      <c r="B300" s="8" t="str">
        <f>IF(ISBLANK(A300),"",VLOOKUP(A300,DOI_URL!$B$1:$C$74,2,FALSE()))</f>
        <v/>
      </c>
      <c r="C300" s="8"/>
      <c r="D300" s="8"/>
      <c r="I300" s="8"/>
      <c r="J300" s="8"/>
    </row>
    <row r="301">
      <c r="A301" s="8"/>
      <c r="B301" s="8" t="str">
        <f>IF(ISBLANK(A301),"",VLOOKUP(A301,DOI_URL!$B$1:$C$74,2,FALSE()))</f>
        <v/>
      </c>
      <c r="C301" s="8"/>
      <c r="D301" s="8"/>
      <c r="I301" s="8"/>
      <c r="J301" s="8"/>
    </row>
    <row r="302">
      <c r="A302" s="8"/>
      <c r="B302" s="8" t="str">
        <f>IF(ISBLANK(A302),"",VLOOKUP(A302,DOI_URL!$B$1:$C$74,2,FALSE()))</f>
        <v/>
      </c>
      <c r="C302" s="8"/>
      <c r="D302" s="8"/>
      <c r="I302" s="8"/>
      <c r="J302" s="8"/>
    </row>
    <row r="303">
      <c r="A303" s="8"/>
      <c r="B303" s="8" t="str">
        <f>IF(ISBLANK(A303),"",VLOOKUP(A303,DOI_URL!$B$1:$C$74,2,FALSE()))</f>
        <v/>
      </c>
      <c r="C303" s="8"/>
      <c r="D303" s="8"/>
      <c r="I303" s="8"/>
      <c r="J303" s="8"/>
    </row>
    <row r="304">
      <c r="A304" s="8"/>
      <c r="B304" s="8" t="str">
        <f>IF(ISBLANK(A304),"",VLOOKUP(A304,DOI_URL!$B$1:$C$74,2,FALSE()))</f>
        <v/>
      </c>
      <c r="C304" s="8"/>
      <c r="D304" s="8"/>
      <c r="I304" s="8"/>
      <c r="J304" s="8"/>
    </row>
    <row r="305">
      <c r="A305" s="8"/>
      <c r="B305" s="8" t="str">
        <f>IF(ISBLANK(A305),"",VLOOKUP(A305,DOI_URL!$B$1:$C$74,2,FALSE()))</f>
        <v/>
      </c>
      <c r="C305" s="8"/>
      <c r="D305" s="8"/>
      <c r="I305" s="8"/>
      <c r="J305" s="8"/>
    </row>
    <row r="306">
      <c r="A306" s="8"/>
      <c r="B306" s="8" t="str">
        <f>IF(ISBLANK(A306),"",VLOOKUP(A306,DOI_URL!$B$1:$C$74,2,FALSE()))</f>
        <v/>
      </c>
      <c r="C306" s="8"/>
      <c r="D306" s="8"/>
      <c r="I306" s="8"/>
      <c r="J306" s="8"/>
    </row>
    <row r="307">
      <c r="A307" s="8"/>
      <c r="B307" s="8" t="str">
        <f>IF(ISBLANK(A307),"",VLOOKUP(A307,DOI_URL!$B$1:$C$74,2,FALSE()))</f>
        <v/>
      </c>
      <c r="C307" s="8"/>
      <c r="D307" s="8"/>
      <c r="I307" s="8"/>
      <c r="J307" s="8"/>
    </row>
    <row r="308">
      <c r="A308" s="8"/>
      <c r="B308" s="8" t="str">
        <f>IF(ISBLANK(A308),"",VLOOKUP(A308,DOI_URL!$B$1:$C$74,2,FALSE()))</f>
        <v/>
      </c>
      <c r="C308" s="8"/>
      <c r="D308" s="8"/>
      <c r="I308" s="8"/>
      <c r="J308" s="8"/>
    </row>
    <row r="309">
      <c r="A309" s="8"/>
      <c r="B309" s="8" t="str">
        <f>IF(ISBLANK(A309),"",VLOOKUP(A309,DOI_URL!$B$1:$C$74,2,FALSE()))</f>
        <v/>
      </c>
      <c r="C309" s="8"/>
      <c r="D309" s="8"/>
      <c r="I309" s="8"/>
      <c r="J309" s="8"/>
    </row>
    <row r="310">
      <c r="A310" s="8"/>
      <c r="B310" s="8" t="str">
        <f>IF(ISBLANK(A310),"",VLOOKUP(A310,DOI_URL!$B$1:$C$74,2,FALSE()))</f>
        <v/>
      </c>
      <c r="C310" s="8"/>
      <c r="D310" s="8"/>
      <c r="I310" s="8"/>
      <c r="J310" s="8"/>
    </row>
    <row r="311">
      <c r="A311" s="8"/>
      <c r="B311" s="8" t="str">
        <f>IF(ISBLANK(A311),"",VLOOKUP(A311,DOI_URL!$B$1:$C$74,2,FALSE()))</f>
        <v/>
      </c>
      <c r="C311" s="8"/>
      <c r="D311" s="8"/>
      <c r="I311" s="8"/>
      <c r="J311" s="8"/>
    </row>
    <row r="312">
      <c r="A312" s="8"/>
      <c r="B312" s="8" t="str">
        <f>IF(ISBLANK(A312),"",VLOOKUP(A312,DOI_URL!$B$1:$C$74,2,FALSE()))</f>
        <v/>
      </c>
      <c r="C312" s="8"/>
      <c r="D312" s="8"/>
      <c r="I312" s="8"/>
      <c r="J312" s="8"/>
    </row>
    <row r="313">
      <c r="A313" s="8"/>
      <c r="B313" s="8" t="str">
        <f>IF(ISBLANK(A313),"",VLOOKUP(A313,DOI_URL!$B$1:$C$74,2,FALSE()))</f>
        <v/>
      </c>
      <c r="C313" s="8"/>
      <c r="D313" s="8"/>
      <c r="I313" s="8"/>
      <c r="J313" s="8"/>
    </row>
    <row r="314">
      <c r="A314" s="8"/>
      <c r="B314" s="8" t="str">
        <f>IF(ISBLANK(A314),"",VLOOKUP(A314,DOI_URL!$B$1:$C$74,2,FALSE()))</f>
        <v/>
      </c>
      <c r="C314" s="8"/>
      <c r="D314" s="8"/>
      <c r="I314" s="8"/>
      <c r="J314" s="8"/>
    </row>
    <row r="315">
      <c r="A315" s="8"/>
      <c r="B315" s="8" t="str">
        <f>IF(ISBLANK(A315),"",VLOOKUP(A315,DOI_URL!$B$1:$C$74,2,FALSE()))</f>
        <v/>
      </c>
      <c r="C315" s="8"/>
      <c r="D315" s="8"/>
      <c r="I315" s="8"/>
      <c r="J315" s="8"/>
    </row>
    <row r="316">
      <c r="A316" s="8"/>
      <c r="B316" s="8" t="str">
        <f>IF(ISBLANK(A316),"",VLOOKUP(A316,DOI_URL!$B$1:$C$74,2,FALSE()))</f>
        <v/>
      </c>
      <c r="C316" s="8"/>
      <c r="D316" s="8"/>
      <c r="I316" s="8"/>
      <c r="J316" s="8"/>
    </row>
    <row r="317">
      <c r="A317" s="8"/>
      <c r="B317" s="8" t="str">
        <f>IF(ISBLANK(A317),"",VLOOKUP(A317,DOI_URL!$B$1:$C$74,2,FALSE()))</f>
        <v/>
      </c>
      <c r="C317" s="8"/>
      <c r="D317" s="8"/>
      <c r="I317" s="8"/>
      <c r="J317" s="8"/>
    </row>
    <row r="318">
      <c r="A318" s="8"/>
      <c r="B318" s="8" t="str">
        <f>IF(ISBLANK(A318),"",VLOOKUP(A318,DOI_URL!$B$1:$C$74,2,FALSE()))</f>
        <v/>
      </c>
      <c r="C318" s="8"/>
      <c r="D318" s="8"/>
      <c r="I318" s="8"/>
      <c r="J318" s="8"/>
    </row>
    <row r="319">
      <c r="A319" s="8"/>
      <c r="B319" s="8" t="str">
        <f>IF(ISBLANK(A319),"",VLOOKUP(A319,DOI_URL!$B$1:$C$74,2,FALSE()))</f>
        <v/>
      </c>
      <c r="C319" s="8"/>
      <c r="D319" s="8"/>
      <c r="I319" s="8"/>
      <c r="J319" s="8"/>
    </row>
    <row r="320">
      <c r="A320" s="8"/>
      <c r="B320" s="8" t="str">
        <f>IF(ISBLANK(A320),"",VLOOKUP(A320,DOI_URL!$B$1:$C$74,2,FALSE()))</f>
        <v/>
      </c>
      <c r="C320" s="8"/>
      <c r="D320" s="8"/>
      <c r="I320" s="8"/>
      <c r="J320" s="8"/>
    </row>
    <row r="321">
      <c r="A321" s="8"/>
      <c r="B321" s="8" t="str">
        <f>IF(ISBLANK(A321),"",VLOOKUP(A321,DOI_URL!$B$1:$C$74,2,FALSE()))</f>
        <v/>
      </c>
      <c r="C321" s="8"/>
      <c r="D321" s="8"/>
      <c r="I321" s="8"/>
      <c r="J321" s="8"/>
    </row>
    <row r="322">
      <c r="A322" s="8"/>
      <c r="B322" s="8" t="str">
        <f>IF(ISBLANK(A322),"",VLOOKUP(A322,DOI_URL!$B$1:$C$74,2,FALSE()))</f>
        <v/>
      </c>
      <c r="C322" s="8"/>
      <c r="D322" s="8"/>
      <c r="I322" s="8"/>
      <c r="J322" s="8"/>
    </row>
    <row r="323">
      <c r="A323" s="8"/>
      <c r="B323" s="8" t="str">
        <f>IF(ISBLANK(A323),"",VLOOKUP(A323,DOI_URL!$B$1:$C$74,2,FALSE()))</f>
        <v/>
      </c>
      <c r="C323" s="8"/>
      <c r="D323" s="8"/>
      <c r="I323" s="8"/>
      <c r="J323" s="8"/>
    </row>
    <row r="324">
      <c r="A324" s="8"/>
      <c r="B324" s="8" t="str">
        <f>IF(ISBLANK(A324),"",VLOOKUP(A324,DOI_URL!$B$1:$C$74,2,FALSE()))</f>
        <v/>
      </c>
      <c r="C324" s="8"/>
      <c r="D324" s="8"/>
      <c r="I324" s="8"/>
      <c r="J324" s="8"/>
    </row>
    <row r="325">
      <c r="A325" s="8"/>
      <c r="B325" s="8" t="str">
        <f>IF(ISBLANK(A325),"",VLOOKUP(A325,DOI_URL!$B$1:$C$74,2,FALSE()))</f>
        <v/>
      </c>
      <c r="C325" s="8"/>
      <c r="D325" s="8"/>
      <c r="I325" s="8"/>
      <c r="J325" s="8"/>
    </row>
    <row r="326">
      <c r="A326" s="8"/>
      <c r="B326" s="8" t="str">
        <f>IF(ISBLANK(A326),"",VLOOKUP(A326,DOI_URL!$B$1:$C$74,2,FALSE()))</f>
        <v/>
      </c>
      <c r="C326" s="8"/>
      <c r="D326" s="8"/>
      <c r="I326" s="8"/>
      <c r="J326" s="8"/>
    </row>
    <row r="327">
      <c r="A327" s="8"/>
      <c r="B327" s="8" t="str">
        <f>IF(ISBLANK(A327),"",VLOOKUP(A327,DOI_URL!$B$1:$C$74,2,FALSE()))</f>
        <v/>
      </c>
      <c r="C327" s="8"/>
      <c r="D327" s="8"/>
      <c r="I327" s="8"/>
      <c r="J327" s="8"/>
    </row>
    <row r="328">
      <c r="A328" s="8"/>
      <c r="B328" s="8" t="str">
        <f>IF(ISBLANK(A328),"",VLOOKUP(A328,DOI_URL!$B$1:$C$74,2,FALSE()))</f>
        <v/>
      </c>
      <c r="C328" s="8"/>
      <c r="D328" s="8"/>
      <c r="I328" s="8"/>
      <c r="J328" s="8"/>
    </row>
    <row r="329">
      <c r="A329" s="8"/>
      <c r="B329" s="8" t="str">
        <f>IF(ISBLANK(A329),"",VLOOKUP(A329,DOI_URL!$B$1:$C$74,2,FALSE()))</f>
        <v/>
      </c>
      <c r="C329" s="8"/>
      <c r="D329" s="8"/>
      <c r="I329" s="8"/>
      <c r="J329" s="8"/>
    </row>
    <row r="330">
      <c r="A330" s="8"/>
      <c r="B330" s="8" t="str">
        <f>IF(ISBLANK(A330),"",VLOOKUP(A330,DOI_URL!$B$1:$C$74,2,FALSE()))</f>
        <v/>
      </c>
      <c r="C330" s="8"/>
      <c r="D330" s="8"/>
      <c r="I330" s="8"/>
      <c r="J330" s="8"/>
    </row>
    <row r="331">
      <c r="A331" s="8"/>
      <c r="B331" s="8" t="str">
        <f>IF(ISBLANK(A331),"",VLOOKUP(A331,DOI_URL!$B$1:$C$74,2,FALSE()))</f>
        <v/>
      </c>
      <c r="C331" s="8"/>
      <c r="D331" s="8"/>
      <c r="I331" s="8"/>
      <c r="J331" s="8"/>
    </row>
    <row r="332">
      <c r="A332" s="8"/>
      <c r="B332" s="8" t="str">
        <f>IF(ISBLANK(A332),"",VLOOKUP(A332,DOI_URL!$B$1:$C$74,2,FALSE()))</f>
        <v/>
      </c>
      <c r="C332" s="8"/>
      <c r="D332" s="8"/>
      <c r="I332" s="8"/>
      <c r="J332" s="8"/>
    </row>
    <row r="333">
      <c r="A333" s="8"/>
      <c r="B333" s="8" t="str">
        <f>IF(ISBLANK(A333),"",VLOOKUP(A333,DOI_URL!$B$1:$C$74,2,FALSE()))</f>
        <v/>
      </c>
      <c r="C333" s="8"/>
      <c r="D333" s="8"/>
      <c r="I333" s="8"/>
      <c r="J333" s="8"/>
    </row>
    <row r="334">
      <c r="A334" s="8"/>
      <c r="B334" s="8" t="str">
        <f>IF(ISBLANK(A334),"",VLOOKUP(A334,DOI_URL!$B$1:$C$74,2,FALSE()))</f>
        <v/>
      </c>
      <c r="C334" s="8"/>
      <c r="D334" s="8"/>
      <c r="I334" s="8"/>
      <c r="J334" s="8"/>
    </row>
    <row r="335">
      <c r="A335" s="8"/>
      <c r="B335" s="8" t="str">
        <f>IF(ISBLANK(A335),"",VLOOKUP(A335,DOI_URL!$B$1:$C$74,2,FALSE()))</f>
        <v/>
      </c>
      <c r="C335" s="8"/>
      <c r="D335" s="8"/>
      <c r="I335" s="8"/>
      <c r="J335" s="8"/>
    </row>
    <row r="336">
      <c r="A336" s="8"/>
      <c r="B336" s="8" t="str">
        <f>IF(ISBLANK(A336),"",VLOOKUP(A336,DOI_URL!$B$1:$C$74,2,FALSE()))</f>
        <v/>
      </c>
      <c r="C336" s="8"/>
      <c r="D336" s="8"/>
      <c r="I336" s="8"/>
      <c r="J336" s="8"/>
    </row>
    <row r="337">
      <c r="A337" s="8"/>
      <c r="B337" s="8" t="str">
        <f>IF(ISBLANK(A337),"",VLOOKUP(A337,DOI_URL!$B$1:$C$74,2,FALSE()))</f>
        <v/>
      </c>
      <c r="C337" s="8"/>
      <c r="D337" s="8"/>
      <c r="I337" s="8"/>
      <c r="J337" s="8"/>
    </row>
    <row r="338">
      <c r="A338" s="8"/>
      <c r="B338" s="8" t="str">
        <f>IF(ISBLANK(A338),"",VLOOKUP(A338,DOI_URL!$B$1:$C$74,2,FALSE()))</f>
        <v/>
      </c>
      <c r="C338" s="8"/>
      <c r="D338" s="8"/>
      <c r="I338" s="8"/>
      <c r="J338" s="8"/>
    </row>
    <row r="339">
      <c r="A339" s="8"/>
      <c r="B339" s="8" t="str">
        <f>IF(ISBLANK(A339),"",VLOOKUP(A339,DOI_URL!$B$1:$C$74,2,FALSE()))</f>
        <v/>
      </c>
      <c r="C339" s="8"/>
      <c r="D339" s="8"/>
      <c r="I339" s="8"/>
      <c r="J339" s="8"/>
    </row>
    <row r="340">
      <c r="A340" s="8"/>
      <c r="B340" s="8" t="str">
        <f>IF(ISBLANK(A340),"",VLOOKUP(A340,DOI_URL!$B$1:$C$74,2,FALSE()))</f>
        <v/>
      </c>
      <c r="C340" s="8"/>
      <c r="D340" s="8"/>
      <c r="I340" s="8"/>
      <c r="J340" s="8"/>
    </row>
    <row r="341">
      <c r="A341" s="8"/>
      <c r="B341" s="8" t="str">
        <f>IF(ISBLANK(A341),"",VLOOKUP(A341,DOI_URL!$B$1:$C$74,2,FALSE()))</f>
        <v/>
      </c>
      <c r="C341" s="8"/>
      <c r="D341" s="8"/>
      <c r="I341" s="8"/>
      <c r="J341" s="8"/>
    </row>
    <row r="342">
      <c r="A342" s="8"/>
      <c r="B342" s="8" t="str">
        <f>IF(ISBLANK(A342),"",VLOOKUP(A342,DOI_URL!$B$1:$C$74,2,FALSE()))</f>
        <v/>
      </c>
      <c r="C342" s="8"/>
      <c r="D342" s="8"/>
      <c r="I342" s="8"/>
      <c r="J342" s="8"/>
    </row>
    <row r="343">
      <c r="A343" s="8"/>
      <c r="B343" s="8" t="str">
        <f>IF(ISBLANK(A343),"",VLOOKUP(A343,DOI_URL!$B$1:$C$74,2,FALSE()))</f>
        <v/>
      </c>
      <c r="C343" s="8"/>
      <c r="D343" s="8"/>
      <c r="I343" s="8"/>
      <c r="J343" s="8"/>
    </row>
    <row r="344">
      <c r="A344" s="8"/>
      <c r="B344" s="8" t="str">
        <f>IF(ISBLANK(A344),"",VLOOKUP(A344,DOI_URL!$B$1:$C$74,2,FALSE()))</f>
        <v/>
      </c>
      <c r="C344" s="8"/>
      <c r="D344" s="8"/>
      <c r="I344" s="8"/>
      <c r="J344" s="8"/>
    </row>
    <row r="345">
      <c r="A345" s="8"/>
      <c r="B345" s="8" t="str">
        <f>IF(ISBLANK(A345),"",VLOOKUP(A345,DOI_URL!$B$1:$C$74,2,FALSE()))</f>
        <v/>
      </c>
      <c r="C345" s="8"/>
      <c r="D345" s="8"/>
      <c r="I345" s="8"/>
      <c r="J345" s="8"/>
    </row>
    <row r="346">
      <c r="A346" s="8"/>
      <c r="B346" s="8" t="str">
        <f>IF(ISBLANK(A346),"",VLOOKUP(A346,DOI_URL!$B$1:$C$74,2,FALSE()))</f>
        <v/>
      </c>
      <c r="C346" s="8"/>
      <c r="D346" s="8"/>
      <c r="I346" s="8"/>
      <c r="J346" s="8"/>
    </row>
    <row r="347">
      <c r="A347" s="8"/>
      <c r="B347" s="8" t="str">
        <f>IF(ISBLANK(A347),"",VLOOKUP(A347,DOI_URL!$B$1:$C$74,2,FALSE()))</f>
        <v/>
      </c>
      <c r="C347" s="8"/>
      <c r="D347" s="8"/>
      <c r="I347" s="8"/>
      <c r="J347" s="8"/>
    </row>
    <row r="348">
      <c r="A348" s="8"/>
      <c r="B348" s="8" t="str">
        <f>IF(ISBLANK(A348),"",VLOOKUP(A348,DOI_URL!$B$1:$C$74,2,FALSE()))</f>
        <v/>
      </c>
      <c r="C348" s="8"/>
      <c r="D348" s="8"/>
      <c r="I348" s="8"/>
      <c r="J348" s="8"/>
    </row>
    <row r="349">
      <c r="A349" s="8"/>
      <c r="B349" s="8" t="str">
        <f>IF(ISBLANK(A349),"",VLOOKUP(A349,DOI_URL!$B$1:$C$74,2,FALSE()))</f>
        <v/>
      </c>
      <c r="C349" s="8"/>
      <c r="D349" s="8"/>
      <c r="I349" s="8"/>
      <c r="J349" s="8"/>
    </row>
    <row r="350">
      <c r="A350" s="8"/>
      <c r="B350" s="8" t="str">
        <f>IF(ISBLANK(A350),"",VLOOKUP(A350,DOI_URL!$B$1:$C$74,2,FALSE()))</f>
        <v/>
      </c>
      <c r="C350" s="8"/>
      <c r="D350" s="8"/>
      <c r="I350" s="8"/>
      <c r="J350" s="8"/>
    </row>
    <row r="351">
      <c r="A351" s="8"/>
      <c r="B351" s="8" t="str">
        <f>IF(ISBLANK(A351),"",VLOOKUP(A351,DOI_URL!$B$1:$C$74,2,FALSE()))</f>
        <v/>
      </c>
      <c r="C351" s="8"/>
      <c r="D351" s="8"/>
      <c r="I351" s="8"/>
      <c r="J351" s="8"/>
    </row>
    <row r="352">
      <c r="A352" s="8"/>
      <c r="B352" s="8" t="str">
        <f>IF(ISBLANK(A352),"",VLOOKUP(A352,DOI_URL!$B$1:$C$74,2,FALSE()))</f>
        <v/>
      </c>
      <c r="C352" s="8"/>
      <c r="D352" s="8"/>
      <c r="I352" s="8"/>
      <c r="J352" s="8"/>
    </row>
    <row r="353">
      <c r="A353" s="8"/>
      <c r="B353" s="8" t="str">
        <f>IF(ISBLANK(A353),"",VLOOKUP(A353,DOI_URL!$B$1:$C$74,2,FALSE()))</f>
        <v/>
      </c>
      <c r="C353" s="8"/>
      <c r="D353" s="8"/>
      <c r="I353" s="8"/>
      <c r="J353" s="8"/>
    </row>
    <row r="354">
      <c r="A354" s="8"/>
      <c r="B354" s="8" t="str">
        <f>IF(ISBLANK(A354),"",VLOOKUP(A354,DOI_URL!$B$1:$C$74,2,FALSE()))</f>
        <v/>
      </c>
      <c r="C354" s="8"/>
      <c r="D354" s="8"/>
      <c r="I354" s="8"/>
      <c r="J354" s="8"/>
    </row>
    <row r="355">
      <c r="A355" s="8"/>
      <c r="B355" s="8" t="str">
        <f>IF(ISBLANK(A355),"",VLOOKUP(A355,DOI_URL!$B$1:$C$74,2,FALSE()))</f>
        <v/>
      </c>
      <c r="C355" s="8"/>
      <c r="D355" s="8"/>
      <c r="I355" s="8"/>
      <c r="J355" s="8"/>
    </row>
    <row r="356">
      <c r="A356" s="8"/>
      <c r="B356" s="8" t="str">
        <f>IF(ISBLANK(A356),"",VLOOKUP(A356,DOI_URL!$B$1:$C$74,2,FALSE()))</f>
        <v/>
      </c>
      <c r="C356" s="8"/>
      <c r="D356" s="8"/>
      <c r="I356" s="8"/>
      <c r="J356" s="8"/>
    </row>
    <row r="357">
      <c r="A357" s="8"/>
      <c r="B357" s="8" t="str">
        <f>IF(ISBLANK(A357),"",VLOOKUP(A357,DOI_URL!$B$1:$C$74,2,FALSE()))</f>
        <v/>
      </c>
      <c r="C357" s="8"/>
      <c r="D357" s="8"/>
      <c r="I357" s="8"/>
      <c r="J357" s="8"/>
    </row>
    <row r="358">
      <c r="A358" s="8"/>
      <c r="B358" s="8" t="str">
        <f>IF(ISBLANK(A358),"",VLOOKUP(A358,DOI_URL!$B$1:$C$74,2,FALSE()))</f>
        <v/>
      </c>
      <c r="C358" s="8"/>
      <c r="D358" s="8"/>
      <c r="I358" s="8"/>
      <c r="J358" s="8"/>
    </row>
    <row r="359">
      <c r="A359" s="8"/>
      <c r="B359" s="8" t="str">
        <f>IF(ISBLANK(A359),"",VLOOKUP(A359,DOI_URL!$B$1:$C$74,2,FALSE()))</f>
        <v/>
      </c>
      <c r="C359" s="8"/>
      <c r="D359" s="8"/>
      <c r="I359" s="8"/>
      <c r="J359" s="8"/>
    </row>
    <row r="360">
      <c r="A360" s="8"/>
      <c r="B360" s="8" t="str">
        <f>IF(ISBLANK(A360),"",VLOOKUP(A360,DOI_URL!$B$1:$C$74,2,FALSE()))</f>
        <v/>
      </c>
      <c r="C360" s="8"/>
      <c r="D360" s="8"/>
      <c r="I360" s="8"/>
      <c r="J360" s="8"/>
    </row>
    <row r="361">
      <c r="A361" s="8"/>
      <c r="B361" s="8" t="str">
        <f>IF(ISBLANK(A361),"",VLOOKUP(A361,DOI_URL!$B$1:$C$74,2,FALSE()))</f>
        <v/>
      </c>
      <c r="C361" s="8"/>
      <c r="D361" s="8"/>
      <c r="I361" s="8"/>
      <c r="J361" s="8"/>
    </row>
    <row r="362">
      <c r="A362" s="8"/>
      <c r="B362" s="8" t="str">
        <f>IF(ISBLANK(A362),"",VLOOKUP(A362,DOI_URL!$B$1:$C$74,2,FALSE()))</f>
        <v/>
      </c>
      <c r="C362" s="8"/>
      <c r="D362" s="8"/>
      <c r="I362" s="8"/>
      <c r="J362" s="8"/>
    </row>
    <row r="363">
      <c r="A363" s="8"/>
      <c r="B363" s="8" t="str">
        <f>IF(ISBLANK(A363),"",VLOOKUP(A363,DOI_URL!$B$1:$C$74,2,FALSE()))</f>
        <v/>
      </c>
      <c r="C363" s="8"/>
      <c r="D363" s="8"/>
      <c r="I363" s="8"/>
      <c r="J363" s="8"/>
    </row>
    <row r="364">
      <c r="A364" s="8"/>
      <c r="B364" s="8" t="str">
        <f>IF(ISBLANK(A364),"",VLOOKUP(A364,DOI_URL!$B$1:$C$74,2,FALSE()))</f>
        <v/>
      </c>
      <c r="C364" s="8"/>
      <c r="D364" s="8"/>
      <c r="I364" s="8"/>
      <c r="J364" s="8"/>
    </row>
    <row r="365">
      <c r="A365" s="8"/>
      <c r="B365" s="8" t="str">
        <f>IF(ISBLANK(A365),"",VLOOKUP(A365,DOI_URL!$B$1:$C$74,2,FALSE()))</f>
        <v/>
      </c>
      <c r="C365" s="8"/>
      <c r="D365" s="8"/>
      <c r="I365" s="8"/>
      <c r="J365" s="8"/>
    </row>
    <row r="366">
      <c r="A366" s="8"/>
      <c r="B366" s="8" t="str">
        <f>IF(ISBLANK(A366),"",VLOOKUP(A366,DOI_URL!$B$1:$C$74,2,FALSE()))</f>
        <v/>
      </c>
      <c r="C366" s="8"/>
      <c r="D366" s="8"/>
      <c r="I366" s="8"/>
      <c r="J366" s="8"/>
    </row>
    <row r="367">
      <c r="A367" s="8"/>
      <c r="B367" s="8" t="str">
        <f>IF(ISBLANK(A367),"",VLOOKUP(A367,DOI_URL!$B$1:$C$74,2,FALSE()))</f>
        <v/>
      </c>
      <c r="C367" s="8"/>
      <c r="D367" s="8"/>
      <c r="I367" s="8"/>
      <c r="J367" s="8"/>
    </row>
    <row r="368">
      <c r="A368" s="8"/>
      <c r="B368" s="8" t="str">
        <f>IF(ISBLANK(A368),"",VLOOKUP(A368,DOI_URL!$B$1:$C$74,2,FALSE()))</f>
        <v/>
      </c>
      <c r="C368" s="8"/>
      <c r="D368" s="8"/>
      <c r="I368" s="8"/>
      <c r="J368" s="8"/>
    </row>
    <row r="369">
      <c r="A369" s="8"/>
      <c r="B369" s="8" t="str">
        <f>IF(ISBLANK(A369),"",VLOOKUP(A369,DOI_URL!$B$1:$C$74,2,FALSE()))</f>
        <v/>
      </c>
      <c r="C369" s="8"/>
      <c r="D369" s="8"/>
      <c r="I369" s="8"/>
      <c r="J369" s="8"/>
    </row>
    <row r="370">
      <c r="A370" s="8"/>
      <c r="B370" s="8" t="str">
        <f>IF(ISBLANK(A370),"",VLOOKUP(A370,DOI_URL!$B$1:$C$74,2,FALSE()))</f>
        <v/>
      </c>
      <c r="C370" s="8"/>
      <c r="D370" s="8"/>
      <c r="I370" s="8"/>
      <c r="J370" s="8"/>
    </row>
    <row r="371">
      <c r="A371" s="8"/>
      <c r="B371" s="8" t="str">
        <f>IF(ISBLANK(A371),"",VLOOKUP(A371,DOI_URL!$B$1:$C$74,2,FALSE()))</f>
        <v/>
      </c>
      <c r="C371" s="8"/>
      <c r="D371" s="8"/>
      <c r="I371" s="8"/>
      <c r="J371" s="8"/>
    </row>
    <row r="372">
      <c r="A372" s="8"/>
      <c r="B372" s="8" t="str">
        <f>IF(ISBLANK(A372),"",VLOOKUP(A372,DOI_URL!$B$1:$C$74,2,FALSE()))</f>
        <v/>
      </c>
      <c r="C372" s="8"/>
      <c r="D372" s="8"/>
      <c r="I372" s="8"/>
      <c r="J372" s="8"/>
    </row>
    <row r="373">
      <c r="A373" s="8"/>
      <c r="B373" s="8" t="str">
        <f>IF(ISBLANK(A373),"",VLOOKUP(A373,DOI_URL!$B$1:$C$74,2,FALSE()))</f>
        <v/>
      </c>
      <c r="C373" s="8"/>
      <c r="D373" s="8"/>
      <c r="I373" s="8"/>
      <c r="J373" s="8"/>
    </row>
    <row r="374">
      <c r="A374" s="8"/>
      <c r="B374" s="8" t="str">
        <f>IF(ISBLANK(A374),"",VLOOKUP(A374,DOI_URL!$B$1:$C$74,2,FALSE()))</f>
        <v/>
      </c>
      <c r="C374" s="8"/>
      <c r="D374" s="8"/>
      <c r="I374" s="8"/>
      <c r="J374" s="8"/>
    </row>
    <row r="375">
      <c r="A375" s="8"/>
      <c r="B375" s="8" t="str">
        <f>IF(ISBLANK(A375),"",VLOOKUP(A375,DOI_URL!$B$1:$C$74,2,FALSE()))</f>
        <v/>
      </c>
      <c r="C375" s="8"/>
      <c r="D375" s="8"/>
      <c r="I375" s="8"/>
      <c r="J375" s="8"/>
    </row>
    <row r="376">
      <c r="A376" s="8"/>
      <c r="B376" s="8" t="str">
        <f>IF(ISBLANK(A376),"",VLOOKUP(A376,DOI_URL!$B$1:$C$74,2,FALSE()))</f>
        <v/>
      </c>
      <c r="C376" s="8"/>
      <c r="D376" s="8"/>
      <c r="I376" s="8"/>
      <c r="J376" s="8"/>
    </row>
    <row r="377">
      <c r="A377" s="8"/>
      <c r="B377" s="8" t="str">
        <f>IF(ISBLANK(A377),"",VLOOKUP(A377,DOI_URL!$B$1:$C$74,2,FALSE()))</f>
        <v/>
      </c>
      <c r="C377" s="8"/>
      <c r="D377" s="8"/>
      <c r="I377" s="8"/>
      <c r="J377" s="8"/>
    </row>
    <row r="378">
      <c r="A378" s="8"/>
      <c r="B378" s="8" t="str">
        <f>IF(ISBLANK(A378),"",VLOOKUP(A378,DOI_URL!$B$1:$C$74,2,FALSE()))</f>
        <v/>
      </c>
      <c r="C378" s="8"/>
      <c r="D378" s="8"/>
      <c r="I378" s="8"/>
      <c r="J378" s="8"/>
    </row>
    <row r="379">
      <c r="A379" s="8"/>
      <c r="B379" s="8" t="str">
        <f>IF(ISBLANK(A379),"",VLOOKUP(A379,DOI_URL!$B$1:$C$74,2,FALSE()))</f>
        <v/>
      </c>
      <c r="C379" s="8"/>
      <c r="D379" s="8"/>
      <c r="I379" s="8"/>
      <c r="J379" s="8"/>
    </row>
    <row r="380">
      <c r="A380" s="8"/>
      <c r="B380" s="8" t="str">
        <f>IF(ISBLANK(A380),"",VLOOKUP(A380,DOI_URL!$B$1:$C$74,2,FALSE()))</f>
        <v/>
      </c>
      <c r="C380" s="8"/>
      <c r="D380" s="8"/>
      <c r="I380" s="8"/>
      <c r="J380" s="8"/>
    </row>
    <row r="381">
      <c r="A381" s="8"/>
      <c r="B381" s="8" t="str">
        <f>IF(ISBLANK(A381),"",VLOOKUP(A381,DOI_URL!$B$1:$C$74,2,FALSE()))</f>
        <v/>
      </c>
      <c r="C381" s="8"/>
      <c r="D381" s="8"/>
      <c r="I381" s="8"/>
      <c r="J381" s="8"/>
    </row>
    <row r="382">
      <c r="A382" s="8"/>
      <c r="B382" s="8" t="str">
        <f>IF(ISBLANK(A382),"",VLOOKUP(A382,DOI_URL!$B$1:$C$74,2,FALSE()))</f>
        <v/>
      </c>
      <c r="C382" s="8"/>
      <c r="D382" s="8"/>
      <c r="I382" s="8"/>
      <c r="J382" s="8"/>
    </row>
    <row r="383">
      <c r="A383" s="8"/>
      <c r="B383" s="8" t="str">
        <f>IF(ISBLANK(A383),"",VLOOKUP(A383,DOI_URL!$B$1:$C$74,2,FALSE()))</f>
        <v/>
      </c>
      <c r="C383" s="8"/>
      <c r="D383" s="8"/>
      <c r="I383" s="8"/>
      <c r="J383" s="8"/>
    </row>
    <row r="384">
      <c r="A384" s="8"/>
      <c r="B384" s="8" t="str">
        <f>IF(ISBLANK(A384),"",VLOOKUP(A384,DOI_URL!$B$1:$C$74,2,FALSE()))</f>
        <v/>
      </c>
      <c r="C384" s="8"/>
      <c r="D384" s="8"/>
      <c r="I384" s="8"/>
      <c r="J384" s="8"/>
    </row>
    <row r="385">
      <c r="A385" s="8"/>
      <c r="B385" s="8" t="str">
        <f>IF(ISBLANK(A385),"",VLOOKUP(A385,DOI_URL!$B$1:$C$74,2,FALSE()))</f>
        <v/>
      </c>
      <c r="C385" s="8"/>
      <c r="D385" s="8"/>
      <c r="I385" s="8"/>
      <c r="J385" s="8"/>
    </row>
    <row r="386">
      <c r="A386" s="8"/>
      <c r="B386" s="8" t="str">
        <f>IF(ISBLANK(A386),"",VLOOKUP(A386,DOI_URL!$B$1:$C$74,2,FALSE()))</f>
        <v/>
      </c>
      <c r="C386" s="8"/>
      <c r="D386" s="8"/>
      <c r="I386" s="8"/>
      <c r="J386" s="8"/>
    </row>
    <row r="387">
      <c r="A387" s="8"/>
      <c r="B387" s="8" t="str">
        <f>IF(ISBLANK(A387),"",VLOOKUP(A387,DOI_URL!$B$1:$C$74,2,FALSE()))</f>
        <v/>
      </c>
      <c r="C387" s="8"/>
      <c r="D387" s="8"/>
      <c r="I387" s="8"/>
      <c r="J387" s="8"/>
    </row>
    <row r="388">
      <c r="A388" s="8"/>
      <c r="B388" s="8" t="str">
        <f>IF(ISBLANK(A388),"",VLOOKUP(A388,DOI_URL!$B$1:$C$74,2,FALSE()))</f>
        <v/>
      </c>
      <c r="C388" s="8"/>
      <c r="D388" s="8"/>
      <c r="I388" s="8"/>
      <c r="J388" s="8"/>
    </row>
    <row r="389">
      <c r="A389" s="8"/>
      <c r="B389" s="8" t="str">
        <f>IF(ISBLANK(A389),"",VLOOKUP(A389,DOI_URL!$B$1:$C$74,2,FALSE()))</f>
        <v/>
      </c>
      <c r="C389" s="8"/>
      <c r="D389" s="8"/>
      <c r="I389" s="8"/>
      <c r="J389" s="8"/>
    </row>
    <row r="390">
      <c r="A390" s="8"/>
      <c r="B390" s="8" t="str">
        <f>IF(ISBLANK(A390),"",VLOOKUP(A390,DOI_URL!$B$1:$C$74,2,FALSE()))</f>
        <v/>
      </c>
      <c r="C390" s="8"/>
      <c r="D390" s="8"/>
      <c r="I390" s="8"/>
      <c r="J390" s="8"/>
    </row>
    <row r="391">
      <c r="A391" s="8"/>
      <c r="B391" s="8" t="str">
        <f>IF(ISBLANK(A391),"",VLOOKUP(A391,DOI_URL!$B$1:$C$74,2,FALSE()))</f>
        <v/>
      </c>
      <c r="C391" s="8"/>
      <c r="D391" s="8"/>
      <c r="I391" s="8"/>
      <c r="J391" s="8"/>
    </row>
    <row r="392">
      <c r="A392" s="8"/>
      <c r="B392" s="8" t="str">
        <f>IF(ISBLANK(A392),"",VLOOKUP(A392,DOI_URL!$B$1:$C$74,2,FALSE()))</f>
        <v/>
      </c>
      <c r="C392" s="8"/>
      <c r="D392" s="8"/>
      <c r="I392" s="8"/>
      <c r="J392" s="8"/>
    </row>
    <row r="393">
      <c r="A393" s="8"/>
      <c r="B393" s="8" t="str">
        <f>IF(ISBLANK(A393),"",VLOOKUP(A393,DOI_URL!$B$1:$C$74,2,FALSE()))</f>
        <v/>
      </c>
      <c r="C393" s="8"/>
      <c r="D393" s="8"/>
      <c r="I393" s="8"/>
      <c r="J393" s="8"/>
    </row>
    <row r="394">
      <c r="A394" s="8"/>
      <c r="B394" s="8" t="str">
        <f>IF(ISBLANK(A394),"",VLOOKUP(A394,DOI_URL!$B$1:$C$74,2,FALSE()))</f>
        <v/>
      </c>
      <c r="C394" s="8"/>
      <c r="D394" s="8"/>
      <c r="I394" s="8"/>
      <c r="J394" s="8"/>
    </row>
    <row r="395">
      <c r="A395" s="8"/>
      <c r="B395" s="8" t="str">
        <f>IF(ISBLANK(A395),"",VLOOKUP(A395,DOI_URL!$B$1:$C$74,2,FALSE()))</f>
        <v/>
      </c>
      <c r="C395" s="8"/>
      <c r="D395" s="8"/>
      <c r="I395" s="8"/>
      <c r="J395" s="8"/>
    </row>
    <row r="396">
      <c r="A396" s="8"/>
      <c r="B396" s="8" t="str">
        <f>IF(ISBLANK(A396),"",VLOOKUP(A396,DOI_URL!$B$1:$C$74,2,FALSE()))</f>
        <v/>
      </c>
      <c r="C396" s="8"/>
      <c r="D396" s="8"/>
      <c r="I396" s="8"/>
      <c r="J396" s="8"/>
    </row>
    <row r="397">
      <c r="A397" s="8"/>
      <c r="B397" s="8" t="str">
        <f>IF(ISBLANK(A397),"",VLOOKUP(A397,DOI_URL!$B$1:$C$74,2,FALSE()))</f>
        <v/>
      </c>
      <c r="C397" s="8"/>
      <c r="D397" s="8"/>
      <c r="I397" s="8"/>
      <c r="J397" s="8"/>
    </row>
    <row r="398">
      <c r="A398" s="8"/>
      <c r="B398" s="8" t="str">
        <f>IF(ISBLANK(A398),"",VLOOKUP(A398,DOI_URL!$B$1:$C$74,2,FALSE()))</f>
        <v/>
      </c>
      <c r="C398" s="8"/>
      <c r="D398" s="8"/>
      <c r="I398" s="8"/>
      <c r="J398" s="8"/>
    </row>
    <row r="399">
      <c r="A399" s="8"/>
      <c r="B399" s="8" t="str">
        <f>IF(ISBLANK(A399),"",VLOOKUP(A399,DOI_URL!$B$1:$C$74,2,FALSE()))</f>
        <v/>
      </c>
      <c r="C399" s="8"/>
      <c r="D399" s="8"/>
      <c r="I399" s="8"/>
      <c r="J399" s="8"/>
    </row>
    <row r="400">
      <c r="A400" s="8"/>
      <c r="B400" s="8" t="str">
        <f>IF(ISBLANK(A400),"",VLOOKUP(A400,DOI_URL!$B$1:$C$74,2,FALSE()))</f>
        <v/>
      </c>
      <c r="C400" s="8"/>
      <c r="D400" s="8"/>
      <c r="I400" s="8"/>
      <c r="J400" s="8"/>
    </row>
    <row r="401">
      <c r="A401" s="8"/>
      <c r="B401" s="8" t="str">
        <f>IF(ISBLANK(A401),"",VLOOKUP(A401,DOI_URL!$B$1:$C$74,2,FALSE()))</f>
        <v/>
      </c>
      <c r="C401" s="8"/>
      <c r="D401" s="8"/>
      <c r="I401" s="8"/>
      <c r="J401" s="8"/>
    </row>
    <row r="402">
      <c r="A402" s="8"/>
      <c r="B402" s="8" t="str">
        <f>IF(ISBLANK(A402),"",VLOOKUP(A402,DOI_URL!$B$1:$C$74,2,FALSE()))</f>
        <v/>
      </c>
      <c r="C402" s="8"/>
      <c r="D402" s="8"/>
      <c r="I402" s="8"/>
      <c r="J402" s="8"/>
    </row>
    <row r="403">
      <c r="A403" s="8"/>
      <c r="B403" s="8" t="str">
        <f>IF(ISBLANK(A403),"",VLOOKUP(A403,DOI_URL!$B$1:$C$74,2,FALSE()))</f>
        <v/>
      </c>
      <c r="C403" s="8"/>
      <c r="D403" s="8"/>
      <c r="I403" s="8"/>
      <c r="J403" s="8"/>
    </row>
    <row r="404">
      <c r="A404" s="8"/>
      <c r="B404" s="8" t="str">
        <f>IF(ISBLANK(A404),"",VLOOKUP(A404,DOI_URL!$B$1:$C$74,2,FALSE()))</f>
        <v/>
      </c>
      <c r="C404" s="8"/>
      <c r="D404" s="8"/>
      <c r="I404" s="8"/>
      <c r="J404" s="8"/>
    </row>
    <row r="405">
      <c r="A405" s="8"/>
      <c r="B405" s="8" t="str">
        <f>IF(ISBLANK(A405),"",VLOOKUP(A405,DOI_URL!$B$1:$C$74,2,FALSE()))</f>
        <v/>
      </c>
      <c r="C405" s="8"/>
      <c r="D405" s="8"/>
      <c r="I405" s="8"/>
      <c r="J405" s="8"/>
    </row>
    <row r="406">
      <c r="A406" s="8"/>
      <c r="B406" s="8" t="str">
        <f>IF(ISBLANK(A406),"",VLOOKUP(A406,DOI_URL!$B$1:$C$74,2,FALSE()))</f>
        <v/>
      </c>
      <c r="C406" s="8"/>
      <c r="D406" s="8"/>
      <c r="I406" s="8"/>
      <c r="J406" s="8"/>
    </row>
    <row r="407">
      <c r="A407" s="8"/>
      <c r="B407" s="8" t="str">
        <f>IF(ISBLANK(A407),"",VLOOKUP(A407,DOI_URL!$B$1:$C$74,2,FALSE()))</f>
        <v/>
      </c>
      <c r="C407" s="8"/>
      <c r="D407" s="8"/>
      <c r="I407" s="8"/>
      <c r="J407" s="8"/>
    </row>
    <row r="408">
      <c r="A408" s="8"/>
      <c r="B408" s="8" t="str">
        <f>IF(ISBLANK(A408),"",VLOOKUP(A408,DOI_URL!$B$1:$C$74,2,FALSE()))</f>
        <v/>
      </c>
      <c r="C408" s="8"/>
      <c r="D408" s="8"/>
      <c r="I408" s="8"/>
      <c r="J408" s="8"/>
    </row>
    <row r="409">
      <c r="A409" s="8"/>
      <c r="B409" s="8" t="str">
        <f>IF(ISBLANK(A409),"",VLOOKUP(A409,DOI_URL!$B$1:$C$74,2,FALSE()))</f>
        <v/>
      </c>
      <c r="C409" s="8"/>
      <c r="D409" s="8"/>
      <c r="I409" s="8"/>
      <c r="J409" s="8"/>
    </row>
    <row r="410">
      <c r="A410" s="8"/>
      <c r="B410" s="8" t="str">
        <f>IF(ISBLANK(A410),"",VLOOKUP(A410,DOI_URL!$B$1:$C$74,2,FALSE()))</f>
        <v/>
      </c>
      <c r="C410" s="8"/>
      <c r="D410" s="8"/>
      <c r="I410" s="8"/>
      <c r="J410" s="8"/>
    </row>
    <row r="411">
      <c r="A411" s="8"/>
      <c r="B411" s="8" t="str">
        <f>IF(ISBLANK(A411),"",VLOOKUP(A411,DOI_URL!$B$1:$C$74,2,FALSE()))</f>
        <v/>
      </c>
      <c r="C411" s="8"/>
      <c r="D411" s="8"/>
      <c r="I411" s="8"/>
      <c r="J411" s="8"/>
    </row>
    <row r="412">
      <c r="A412" s="8"/>
      <c r="B412" s="8" t="str">
        <f>IF(ISBLANK(A412),"",VLOOKUP(A412,DOI_URL!$B$1:$C$74,2,FALSE()))</f>
        <v/>
      </c>
      <c r="C412" s="8"/>
      <c r="D412" s="8"/>
      <c r="I412" s="8"/>
      <c r="J412" s="8"/>
    </row>
    <row r="413">
      <c r="A413" s="8"/>
      <c r="B413" s="8" t="str">
        <f>IF(ISBLANK(A413),"",VLOOKUP(A413,DOI_URL!$B$1:$C$74,2,FALSE()))</f>
        <v/>
      </c>
      <c r="C413" s="8"/>
      <c r="D413" s="8"/>
      <c r="I413" s="8"/>
      <c r="J413" s="8"/>
    </row>
    <row r="414">
      <c r="A414" s="8"/>
      <c r="B414" s="8" t="str">
        <f>IF(ISBLANK(A414),"",VLOOKUP(A414,DOI_URL!$B$1:$C$74,2,FALSE()))</f>
        <v/>
      </c>
      <c r="C414" s="8"/>
      <c r="D414" s="8"/>
      <c r="I414" s="8"/>
      <c r="J414" s="8"/>
    </row>
    <row r="415">
      <c r="A415" s="8"/>
      <c r="B415" s="8" t="str">
        <f>IF(ISBLANK(A415),"",VLOOKUP(A415,DOI_URL!$B$1:$C$74,2,FALSE()))</f>
        <v/>
      </c>
      <c r="C415" s="8"/>
      <c r="D415" s="8"/>
      <c r="I415" s="8"/>
      <c r="J415" s="8"/>
    </row>
    <row r="416">
      <c r="A416" s="8"/>
      <c r="B416" s="8" t="str">
        <f>IF(ISBLANK(A416),"",VLOOKUP(A416,DOI_URL!$B$1:$C$74,2,FALSE()))</f>
        <v/>
      </c>
      <c r="C416" s="8"/>
      <c r="D416" s="8"/>
      <c r="I416" s="8"/>
      <c r="J416" s="8"/>
    </row>
    <row r="417">
      <c r="A417" s="8"/>
      <c r="B417" s="8" t="str">
        <f>IF(ISBLANK(A417),"",VLOOKUP(A417,DOI_URL!$B$1:$C$74,2,FALSE()))</f>
        <v/>
      </c>
      <c r="C417" s="8"/>
      <c r="D417" s="8"/>
      <c r="I417" s="8"/>
      <c r="J417" s="8"/>
    </row>
    <row r="418">
      <c r="A418" s="8"/>
      <c r="B418" s="8" t="str">
        <f>IF(ISBLANK(A418),"",VLOOKUP(A418,DOI_URL!$B$1:$C$74,2,FALSE()))</f>
        <v/>
      </c>
      <c r="C418" s="8"/>
      <c r="D418" s="8"/>
      <c r="I418" s="8"/>
      <c r="J418" s="8"/>
    </row>
    <row r="419">
      <c r="A419" s="8"/>
      <c r="B419" s="8" t="str">
        <f>IF(ISBLANK(A419),"",VLOOKUP(A419,DOI_URL!$B$1:$C$74,2,FALSE()))</f>
        <v/>
      </c>
      <c r="C419" s="8"/>
      <c r="D419" s="8"/>
      <c r="I419" s="8"/>
      <c r="J419" s="8"/>
    </row>
    <row r="420">
      <c r="A420" s="8"/>
      <c r="B420" s="8" t="str">
        <f>IF(ISBLANK(A420),"",VLOOKUP(A420,DOI_URL!$B$1:$C$74,2,FALSE()))</f>
        <v/>
      </c>
      <c r="C420" s="8"/>
      <c r="D420" s="8"/>
      <c r="I420" s="8"/>
      <c r="J420" s="8"/>
    </row>
    <row r="421">
      <c r="A421" s="8"/>
      <c r="B421" s="8" t="str">
        <f>IF(ISBLANK(A421),"",VLOOKUP(A421,DOI_URL!$B$1:$C$74,2,FALSE()))</f>
        <v/>
      </c>
      <c r="C421" s="8"/>
      <c r="D421" s="8"/>
      <c r="I421" s="8"/>
      <c r="J421" s="8"/>
    </row>
    <row r="422">
      <c r="A422" s="8"/>
      <c r="B422" s="8" t="str">
        <f>IF(ISBLANK(A422),"",VLOOKUP(A422,DOI_URL!$B$1:$C$74,2,FALSE()))</f>
        <v/>
      </c>
      <c r="C422" s="8"/>
      <c r="D422" s="8"/>
      <c r="I422" s="8"/>
      <c r="J422" s="8"/>
    </row>
    <row r="423">
      <c r="A423" s="8"/>
      <c r="B423" s="8" t="str">
        <f>IF(ISBLANK(A423),"",VLOOKUP(A423,DOI_URL!$B$1:$C$74,2,FALSE()))</f>
        <v/>
      </c>
      <c r="C423" s="8"/>
      <c r="D423" s="8"/>
      <c r="I423" s="8"/>
      <c r="J423" s="8"/>
    </row>
    <row r="424">
      <c r="A424" s="8"/>
      <c r="B424" s="8" t="str">
        <f>IF(ISBLANK(A424),"",VLOOKUP(A424,DOI_URL!$B$1:$C$74,2,FALSE()))</f>
        <v/>
      </c>
      <c r="C424" s="8"/>
      <c r="D424" s="8"/>
      <c r="I424" s="8"/>
      <c r="J424" s="8"/>
    </row>
    <row r="425">
      <c r="A425" s="8"/>
      <c r="B425" s="8" t="str">
        <f>IF(ISBLANK(A425),"",VLOOKUP(A425,DOI_URL!$B$1:$C$74,2,FALSE()))</f>
        <v/>
      </c>
      <c r="C425" s="8"/>
      <c r="D425" s="8"/>
      <c r="I425" s="8"/>
      <c r="J425" s="8"/>
    </row>
    <row r="426">
      <c r="A426" s="8"/>
      <c r="B426" s="8" t="str">
        <f>IF(ISBLANK(A426),"",VLOOKUP(A426,DOI_URL!$B$1:$C$74,2,FALSE()))</f>
        <v/>
      </c>
      <c r="C426" s="8"/>
      <c r="D426" s="8"/>
      <c r="I426" s="8"/>
      <c r="J426" s="8"/>
    </row>
    <row r="427">
      <c r="A427" s="8"/>
      <c r="B427" s="8" t="str">
        <f>IF(ISBLANK(A427),"",VLOOKUP(A427,DOI_URL!$B$1:$C$74,2,FALSE()))</f>
        <v/>
      </c>
      <c r="C427" s="8"/>
      <c r="D427" s="8"/>
      <c r="I427" s="8"/>
      <c r="J427" s="8"/>
    </row>
    <row r="428">
      <c r="A428" s="8"/>
      <c r="B428" s="8" t="str">
        <f>IF(ISBLANK(A428),"",VLOOKUP(A428,DOI_URL!$B$1:$C$74,2,FALSE()))</f>
        <v/>
      </c>
      <c r="C428" s="8"/>
      <c r="D428" s="8"/>
      <c r="I428" s="8"/>
      <c r="J428" s="8"/>
    </row>
    <row r="429">
      <c r="A429" s="8"/>
      <c r="B429" s="8" t="str">
        <f>IF(ISBLANK(A429),"",VLOOKUP(A429,DOI_URL!$B$1:$C$74,2,FALSE()))</f>
        <v/>
      </c>
      <c r="C429" s="8"/>
      <c r="D429" s="8"/>
      <c r="I429" s="8"/>
      <c r="J429" s="8"/>
    </row>
    <row r="430">
      <c r="A430" s="8"/>
      <c r="B430" s="8" t="str">
        <f>IF(ISBLANK(A430),"",VLOOKUP(A430,DOI_URL!$B$1:$C$74,2,FALSE()))</f>
        <v/>
      </c>
      <c r="C430" s="8"/>
      <c r="D430" s="8"/>
      <c r="I430" s="8"/>
      <c r="J430" s="8"/>
    </row>
    <row r="431">
      <c r="A431" s="8"/>
      <c r="B431" s="8" t="str">
        <f>IF(ISBLANK(A431),"",VLOOKUP(A431,DOI_URL!$B$1:$C$74,2,FALSE()))</f>
        <v/>
      </c>
      <c r="C431" s="8"/>
      <c r="D431" s="8"/>
      <c r="I431" s="8"/>
      <c r="J431" s="8"/>
    </row>
    <row r="432">
      <c r="A432" s="8"/>
      <c r="B432" s="8" t="str">
        <f>IF(ISBLANK(A432),"",VLOOKUP(A432,DOI_URL!$B$1:$C$74,2,FALSE()))</f>
        <v/>
      </c>
      <c r="C432" s="8"/>
      <c r="D432" s="8"/>
      <c r="I432" s="8"/>
      <c r="J432" s="8"/>
    </row>
    <row r="433">
      <c r="A433" s="8"/>
      <c r="B433" s="8" t="str">
        <f>IF(ISBLANK(A433),"",VLOOKUP(A433,DOI_URL!$B$1:$C$74,2,FALSE()))</f>
        <v/>
      </c>
      <c r="C433" s="8"/>
      <c r="D433" s="8"/>
      <c r="I433" s="8"/>
      <c r="J433" s="8"/>
    </row>
    <row r="434">
      <c r="A434" s="8"/>
      <c r="B434" s="8" t="str">
        <f>IF(ISBLANK(A434),"",VLOOKUP(A434,DOI_URL!$B$1:$C$74,2,FALSE()))</f>
        <v/>
      </c>
      <c r="C434" s="8"/>
      <c r="D434" s="8"/>
      <c r="I434" s="8"/>
      <c r="J434" s="8"/>
    </row>
    <row r="435">
      <c r="A435" s="8"/>
      <c r="B435" s="8" t="str">
        <f>IF(ISBLANK(A435),"",VLOOKUP(A435,DOI_URL!$B$1:$C$74,2,FALSE()))</f>
        <v/>
      </c>
      <c r="C435" s="8"/>
      <c r="D435" s="8"/>
      <c r="I435" s="8"/>
      <c r="J435" s="8"/>
    </row>
    <row r="436">
      <c r="A436" s="8"/>
      <c r="B436" s="8" t="str">
        <f>IF(ISBLANK(A436),"",VLOOKUP(A436,DOI_URL!$B$1:$C$74,2,FALSE()))</f>
        <v/>
      </c>
      <c r="C436" s="8"/>
      <c r="D436" s="8"/>
      <c r="I436" s="8"/>
      <c r="J436" s="8"/>
    </row>
    <row r="437">
      <c r="A437" s="8"/>
      <c r="B437" s="8" t="str">
        <f>IF(ISBLANK(A437),"",VLOOKUP(A437,DOI_URL!$B$1:$C$74,2,FALSE()))</f>
        <v/>
      </c>
      <c r="C437" s="8"/>
      <c r="D437" s="8"/>
      <c r="I437" s="8"/>
      <c r="J437" s="8"/>
    </row>
    <row r="438">
      <c r="A438" s="8"/>
      <c r="B438" s="8" t="str">
        <f>IF(ISBLANK(A438),"",VLOOKUP(A438,DOI_URL!$B$1:$C$74,2,FALSE()))</f>
        <v/>
      </c>
      <c r="C438" s="8"/>
      <c r="D438" s="8"/>
      <c r="I438" s="8"/>
      <c r="J438" s="8"/>
    </row>
    <row r="439">
      <c r="A439" s="8"/>
      <c r="B439" s="8" t="str">
        <f>IF(ISBLANK(A439),"",VLOOKUP(A439,DOI_URL!$B$1:$C$74,2,FALSE()))</f>
        <v/>
      </c>
      <c r="C439" s="8"/>
      <c r="D439" s="8"/>
      <c r="I439" s="8"/>
      <c r="J439" s="8"/>
    </row>
    <row r="440">
      <c r="A440" s="8"/>
      <c r="B440" s="8" t="str">
        <f>IF(ISBLANK(A440),"",VLOOKUP(A440,DOI_URL!$B$1:$C$74,2,FALSE()))</f>
        <v/>
      </c>
      <c r="C440" s="8"/>
      <c r="D440" s="8"/>
      <c r="I440" s="8"/>
      <c r="J440" s="8"/>
    </row>
    <row r="441">
      <c r="A441" s="8"/>
      <c r="B441" s="8" t="str">
        <f>IF(ISBLANK(A441),"",VLOOKUP(A441,DOI_URL!$B$1:$C$74,2,FALSE()))</f>
        <v/>
      </c>
      <c r="C441" s="8"/>
      <c r="D441" s="8"/>
      <c r="I441" s="8"/>
      <c r="J441" s="8"/>
    </row>
    <row r="442">
      <c r="A442" s="8"/>
      <c r="B442" s="8" t="str">
        <f>IF(ISBLANK(A442),"",VLOOKUP(A442,DOI_URL!$B$1:$C$74,2,FALSE()))</f>
        <v/>
      </c>
      <c r="C442" s="8"/>
      <c r="D442" s="8"/>
      <c r="I442" s="8"/>
      <c r="J442" s="8"/>
    </row>
    <row r="443">
      <c r="A443" s="8"/>
      <c r="B443" s="8" t="str">
        <f>IF(ISBLANK(A443),"",VLOOKUP(A443,DOI_URL!$B$1:$C$74,2,FALSE()))</f>
        <v/>
      </c>
      <c r="C443" s="8"/>
      <c r="D443" s="8"/>
      <c r="I443" s="8"/>
      <c r="J443" s="8"/>
    </row>
    <row r="444">
      <c r="A444" s="8"/>
      <c r="B444" s="8" t="str">
        <f>IF(ISBLANK(A444),"",VLOOKUP(A444,DOI_URL!$B$1:$C$74,2,FALSE()))</f>
        <v/>
      </c>
      <c r="C444" s="8"/>
      <c r="D444" s="8"/>
      <c r="I444" s="8"/>
      <c r="J444" s="8"/>
    </row>
    <row r="445">
      <c r="A445" s="8"/>
      <c r="B445" s="8" t="str">
        <f>IF(ISBLANK(A445),"",VLOOKUP(A445,DOI_URL!$B$1:$C$74,2,FALSE()))</f>
        <v/>
      </c>
      <c r="C445" s="8"/>
      <c r="D445" s="8"/>
      <c r="I445" s="8"/>
      <c r="J445" s="8"/>
    </row>
    <row r="446">
      <c r="A446" s="8"/>
      <c r="B446" s="8" t="str">
        <f>IF(ISBLANK(A446),"",VLOOKUP(A446,DOI_URL!$B$1:$C$74,2,FALSE()))</f>
        <v/>
      </c>
      <c r="C446" s="8"/>
      <c r="D446" s="8"/>
      <c r="I446" s="8"/>
      <c r="J446" s="8"/>
    </row>
    <row r="447">
      <c r="A447" s="8"/>
      <c r="B447" s="8" t="str">
        <f>IF(ISBLANK(A447),"",VLOOKUP(A447,DOI_URL!$B$1:$C$74,2,FALSE()))</f>
        <v/>
      </c>
      <c r="C447" s="8"/>
      <c r="D447" s="8"/>
      <c r="I447" s="8"/>
      <c r="J447" s="8"/>
    </row>
    <row r="448">
      <c r="A448" s="8"/>
      <c r="B448" s="8" t="str">
        <f>IF(ISBLANK(A448),"",VLOOKUP(A448,DOI_URL!$B$1:$C$74,2,FALSE()))</f>
        <v/>
      </c>
      <c r="C448" s="8"/>
      <c r="D448" s="8"/>
      <c r="I448" s="8"/>
      <c r="J448" s="8"/>
    </row>
    <row r="449">
      <c r="A449" s="8"/>
      <c r="B449" s="8" t="str">
        <f>IF(ISBLANK(A449),"",VLOOKUP(A449,DOI_URL!$B$1:$C$74,2,FALSE()))</f>
        <v/>
      </c>
      <c r="C449" s="8"/>
      <c r="D449" s="8"/>
      <c r="I449" s="8"/>
      <c r="J449" s="8"/>
    </row>
    <row r="450">
      <c r="A450" s="8"/>
      <c r="B450" s="8" t="str">
        <f>IF(ISBLANK(A450),"",VLOOKUP(A450,DOI_URL!$B$1:$C$74,2,FALSE()))</f>
        <v/>
      </c>
      <c r="C450" s="8"/>
      <c r="D450" s="8"/>
      <c r="I450" s="8"/>
      <c r="J450" s="8"/>
    </row>
    <row r="451">
      <c r="A451" s="8"/>
      <c r="B451" s="8" t="str">
        <f>IF(ISBLANK(A451),"",VLOOKUP(A451,DOI_URL!$B$1:$C$74,2,FALSE()))</f>
        <v/>
      </c>
      <c r="C451" s="8"/>
      <c r="D451" s="8"/>
      <c r="I451" s="8"/>
      <c r="J451" s="8"/>
    </row>
    <row r="452">
      <c r="A452" s="8"/>
      <c r="B452" s="8" t="str">
        <f>IF(ISBLANK(A452),"",VLOOKUP(A452,DOI_URL!$B$1:$C$74,2,FALSE()))</f>
        <v/>
      </c>
      <c r="C452" s="8"/>
      <c r="D452" s="8"/>
      <c r="I452" s="8"/>
      <c r="J452" s="8"/>
    </row>
    <row r="453">
      <c r="A453" s="8"/>
      <c r="B453" s="8" t="str">
        <f>IF(ISBLANK(A453),"",VLOOKUP(A453,DOI_URL!$B$1:$C$74,2,FALSE()))</f>
        <v/>
      </c>
      <c r="C453" s="8"/>
      <c r="D453" s="8"/>
      <c r="I453" s="8"/>
      <c r="J453" s="8"/>
    </row>
    <row r="454">
      <c r="A454" s="8"/>
      <c r="B454" s="8" t="str">
        <f>IF(ISBLANK(A454),"",VLOOKUP(A454,DOI_URL!$B$1:$C$74,2,FALSE()))</f>
        <v/>
      </c>
      <c r="C454" s="8"/>
      <c r="D454" s="8"/>
      <c r="I454" s="8"/>
      <c r="J454" s="8"/>
    </row>
    <row r="455">
      <c r="A455" s="8"/>
      <c r="B455" s="8" t="str">
        <f>IF(ISBLANK(A455),"",VLOOKUP(A455,DOI_URL!$B$1:$C$74,2,FALSE()))</f>
        <v/>
      </c>
      <c r="C455" s="8"/>
      <c r="D455" s="8"/>
      <c r="I455" s="8"/>
      <c r="J455" s="8"/>
    </row>
    <row r="456">
      <c r="A456" s="8"/>
      <c r="B456" s="8" t="str">
        <f>IF(ISBLANK(A456),"",VLOOKUP(A456,DOI_URL!$B$1:$C$74,2,FALSE()))</f>
        <v/>
      </c>
      <c r="C456" s="8"/>
      <c r="D456" s="8"/>
      <c r="I456" s="8"/>
      <c r="J456" s="8"/>
    </row>
    <row r="457">
      <c r="A457" s="8"/>
      <c r="B457" s="8" t="str">
        <f>IF(ISBLANK(A457),"",VLOOKUP(A457,DOI_URL!$B$1:$C$74,2,FALSE()))</f>
        <v/>
      </c>
      <c r="C457" s="8"/>
      <c r="D457" s="8"/>
      <c r="I457" s="8"/>
      <c r="J457" s="8"/>
    </row>
    <row r="458">
      <c r="A458" s="8"/>
      <c r="B458" s="8" t="str">
        <f>IF(ISBLANK(A458),"",VLOOKUP(A458,DOI_URL!$B$1:$C$74,2,FALSE()))</f>
        <v/>
      </c>
      <c r="C458" s="8"/>
      <c r="D458" s="8"/>
      <c r="I458" s="8"/>
      <c r="J458" s="8"/>
    </row>
    <row r="459">
      <c r="A459" s="8"/>
      <c r="B459" s="8" t="str">
        <f>IF(ISBLANK(A459),"",VLOOKUP(A459,DOI_URL!$B$1:$C$74,2,FALSE()))</f>
        <v/>
      </c>
      <c r="C459" s="8"/>
      <c r="D459" s="8"/>
      <c r="I459" s="8"/>
      <c r="J459" s="8"/>
    </row>
    <row r="460">
      <c r="A460" s="8"/>
      <c r="B460" s="8" t="str">
        <f>IF(ISBLANK(A460),"",VLOOKUP(A460,DOI_URL!$B$1:$C$74,2,FALSE()))</f>
        <v/>
      </c>
      <c r="C460" s="8"/>
      <c r="D460" s="8"/>
      <c r="I460" s="8"/>
      <c r="J460" s="8"/>
    </row>
    <row r="461">
      <c r="A461" s="8"/>
      <c r="B461" s="8" t="str">
        <f>IF(ISBLANK(A461),"",VLOOKUP(A461,DOI_URL!$B$1:$C$74,2,FALSE()))</f>
        <v/>
      </c>
      <c r="C461" s="8"/>
      <c r="D461" s="8"/>
      <c r="I461" s="8"/>
      <c r="J461" s="8"/>
    </row>
    <row r="462">
      <c r="A462" s="8"/>
      <c r="B462" s="8" t="str">
        <f>IF(ISBLANK(A462),"",VLOOKUP(A462,DOI_URL!$B$1:$C$74,2,FALSE()))</f>
        <v/>
      </c>
      <c r="C462" s="8"/>
      <c r="D462" s="8"/>
      <c r="I462" s="8"/>
      <c r="J462" s="8"/>
    </row>
    <row r="463">
      <c r="A463" s="8"/>
      <c r="B463" s="8" t="str">
        <f>IF(ISBLANK(A463),"",VLOOKUP(A463,DOI_URL!$B$1:$C$74,2,FALSE()))</f>
        <v/>
      </c>
      <c r="C463" s="8"/>
      <c r="D463" s="8"/>
      <c r="I463" s="8"/>
      <c r="J463" s="8"/>
    </row>
    <row r="464">
      <c r="A464" s="8"/>
      <c r="B464" s="8" t="str">
        <f>IF(ISBLANK(A464),"",VLOOKUP(A464,DOI_URL!$B$1:$C$74,2,FALSE()))</f>
        <v/>
      </c>
      <c r="C464" s="8"/>
      <c r="D464" s="8"/>
      <c r="I464" s="8"/>
      <c r="J464" s="8"/>
    </row>
    <row r="465">
      <c r="A465" s="8"/>
      <c r="B465" s="8" t="str">
        <f>IF(ISBLANK(A465),"",VLOOKUP(A465,DOI_URL!$B$1:$C$74,2,FALSE()))</f>
        <v/>
      </c>
      <c r="C465" s="8"/>
      <c r="D465" s="8"/>
      <c r="I465" s="8"/>
      <c r="J465" s="8"/>
    </row>
    <row r="466">
      <c r="A466" s="8"/>
      <c r="B466" s="8" t="str">
        <f>IF(ISBLANK(A466),"",VLOOKUP(A466,DOI_URL!$B$1:$C$74,2,FALSE()))</f>
        <v/>
      </c>
      <c r="C466" s="8"/>
      <c r="D466" s="8"/>
      <c r="I466" s="8"/>
      <c r="J466" s="8"/>
    </row>
    <row r="467">
      <c r="A467" s="8"/>
      <c r="B467" s="8" t="str">
        <f>IF(ISBLANK(A467),"",VLOOKUP(A467,DOI_URL!$B$1:$C$74,2,FALSE()))</f>
        <v/>
      </c>
      <c r="C467" s="8"/>
      <c r="D467" s="8"/>
      <c r="I467" s="8"/>
      <c r="J467" s="8"/>
    </row>
    <row r="468">
      <c r="A468" s="8"/>
      <c r="B468" s="8" t="str">
        <f>IF(ISBLANK(A468),"",VLOOKUP(A468,DOI_URL!$B$1:$C$74,2,FALSE()))</f>
        <v/>
      </c>
      <c r="C468" s="8"/>
      <c r="D468" s="8"/>
      <c r="I468" s="8"/>
      <c r="J468" s="8"/>
    </row>
    <row r="469">
      <c r="A469" s="8"/>
      <c r="B469" s="8" t="str">
        <f>IF(ISBLANK(A469),"",VLOOKUP(A469,DOI_URL!$B$1:$C$74,2,FALSE()))</f>
        <v/>
      </c>
      <c r="C469" s="8"/>
      <c r="D469" s="8"/>
      <c r="I469" s="8"/>
      <c r="J469" s="8"/>
    </row>
    <row r="470">
      <c r="A470" s="8"/>
      <c r="B470" s="8" t="str">
        <f>IF(ISBLANK(A470),"",VLOOKUP(A470,DOI_URL!$B$1:$C$74,2,FALSE()))</f>
        <v/>
      </c>
      <c r="C470" s="8"/>
      <c r="D470" s="8"/>
      <c r="I470" s="8"/>
      <c r="J470" s="8"/>
    </row>
    <row r="471">
      <c r="A471" s="8"/>
      <c r="B471" s="8" t="str">
        <f>IF(ISBLANK(A471),"",VLOOKUP(A471,DOI_URL!$B$1:$C$74,2,FALSE()))</f>
        <v/>
      </c>
      <c r="C471" s="8"/>
      <c r="D471" s="8"/>
      <c r="I471" s="8"/>
      <c r="J471" s="8"/>
    </row>
    <row r="472">
      <c r="A472" s="8"/>
      <c r="B472" s="8" t="str">
        <f>IF(ISBLANK(A472),"",VLOOKUP(A472,DOI_URL!$B$1:$C$74,2,FALSE()))</f>
        <v/>
      </c>
      <c r="C472" s="8"/>
      <c r="D472" s="8"/>
      <c r="I472" s="8"/>
      <c r="J472" s="8"/>
    </row>
    <row r="473">
      <c r="A473" s="8"/>
      <c r="B473" s="8" t="str">
        <f>IF(ISBLANK(A473),"",VLOOKUP(A473,DOI_URL!$B$1:$C$74,2,FALSE()))</f>
        <v/>
      </c>
      <c r="C473" s="8"/>
      <c r="D473" s="8"/>
      <c r="I473" s="8"/>
      <c r="J473" s="8"/>
    </row>
    <row r="474">
      <c r="A474" s="8"/>
      <c r="B474" s="8" t="str">
        <f>IF(ISBLANK(A474),"",VLOOKUP(A474,DOI_URL!$B$1:$C$74,2,FALSE()))</f>
        <v/>
      </c>
      <c r="C474" s="8"/>
      <c r="D474" s="8"/>
      <c r="I474" s="8"/>
      <c r="J474" s="8"/>
    </row>
    <row r="475">
      <c r="A475" s="8"/>
      <c r="B475" s="8" t="str">
        <f>IF(ISBLANK(A475),"",VLOOKUP(A475,DOI_URL!$B$1:$C$74,2,FALSE()))</f>
        <v/>
      </c>
      <c r="C475" s="8"/>
      <c r="D475" s="8"/>
      <c r="I475" s="8"/>
      <c r="J475" s="8"/>
    </row>
    <row r="476">
      <c r="A476" s="8"/>
      <c r="B476" s="8" t="str">
        <f>IF(ISBLANK(A476),"",VLOOKUP(A476,DOI_URL!$B$1:$C$74,2,FALSE()))</f>
        <v/>
      </c>
      <c r="C476" s="8"/>
      <c r="D476" s="8"/>
      <c r="I476" s="8"/>
      <c r="J476" s="8"/>
    </row>
    <row r="477">
      <c r="A477" s="8"/>
      <c r="B477" s="8" t="str">
        <f>IF(ISBLANK(A477),"",VLOOKUP(A477,DOI_URL!$B$1:$C$74,2,FALSE()))</f>
        <v/>
      </c>
      <c r="C477" s="8"/>
      <c r="D477" s="8"/>
      <c r="I477" s="8"/>
      <c r="J477" s="8"/>
    </row>
    <row r="478">
      <c r="A478" s="8"/>
      <c r="B478" s="8" t="str">
        <f>IF(ISBLANK(A478),"",VLOOKUP(A478,DOI_URL!$B$1:$C$74,2,FALSE()))</f>
        <v/>
      </c>
      <c r="C478" s="8"/>
      <c r="D478" s="8"/>
      <c r="I478" s="8"/>
      <c r="J478" s="8"/>
    </row>
    <row r="479">
      <c r="A479" s="8"/>
      <c r="B479" s="8" t="str">
        <f>IF(ISBLANK(A479),"",VLOOKUP(A479,DOI_URL!$B$1:$C$74,2,FALSE()))</f>
        <v/>
      </c>
      <c r="C479" s="8"/>
      <c r="D479" s="8"/>
      <c r="I479" s="8"/>
      <c r="J479" s="8"/>
    </row>
    <row r="480">
      <c r="A480" s="8"/>
      <c r="B480" s="8" t="str">
        <f>IF(ISBLANK(A480),"",VLOOKUP(A480,DOI_URL!$B$1:$C$74,2,FALSE()))</f>
        <v/>
      </c>
      <c r="C480" s="8"/>
      <c r="D480" s="8"/>
      <c r="I480" s="8"/>
      <c r="J480" s="8"/>
    </row>
    <row r="481">
      <c r="A481" s="8"/>
      <c r="B481" s="8" t="str">
        <f>IF(ISBLANK(A481),"",VLOOKUP(A481,DOI_URL!$B$1:$C$74,2,FALSE()))</f>
        <v/>
      </c>
      <c r="C481" s="8"/>
      <c r="D481" s="8"/>
      <c r="I481" s="8"/>
      <c r="J481" s="8"/>
    </row>
    <row r="482">
      <c r="A482" s="8"/>
      <c r="B482" s="8" t="str">
        <f>IF(ISBLANK(A482),"",VLOOKUP(A482,DOI_URL!$B$1:$C$74,2,FALSE()))</f>
        <v/>
      </c>
      <c r="C482" s="8"/>
      <c r="D482" s="8"/>
      <c r="I482" s="8"/>
      <c r="J482" s="8"/>
    </row>
    <row r="483">
      <c r="A483" s="8"/>
      <c r="B483" s="8" t="str">
        <f>IF(ISBLANK(A483),"",VLOOKUP(A483,DOI_URL!$B$1:$C$74,2,FALSE()))</f>
        <v/>
      </c>
      <c r="C483" s="8"/>
      <c r="D483" s="8"/>
      <c r="I483" s="8"/>
      <c r="J483" s="8"/>
    </row>
    <row r="484">
      <c r="A484" s="8"/>
      <c r="B484" s="8" t="str">
        <f>IF(ISBLANK(A484),"",VLOOKUP(A484,DOI_URL!$B$1:$C$74,2,FALSE()))</f>
        <v/>
      </c>
      <c r="C484" s="8"/>
      <c r="D484" s="8"/>
      <c r="I484" s="8"/>
      <c r="J484" s="8"/>
    </row>
    <row r="485">
      <c r="A485" s="8"/>
      <c r="B485" s="8" t="str">
        <f>IF(ISBLANK(A485),"",VLOOKUP(A485,DOI_URL!$B$1:$C$74,2,FALSE()))</f>
        <v/>
      </c>
      <c r="C485" s="8"/>
      <c r="D485" s="8"/>
      <c r="I485" s="8"/>
      <c r="J485" s="8"/>
    </row>
    <row r="486">
      <c r="A486" s="8"/>
      <c r="B486" s="8" t="str">
        <f>IF(ISBLANK(A486),"",VLOOKUP(A486,DOI_URL!$B$1:$C$74,2,FALSE()))</f>
        <v/>
      </c>
      <c r="C486" s="8"/>
      <c r="D486" s="8"/>
      <c r="I486" s="8"/>
      <c r="J486" s="8"/>
    </row>
    <row r="487">
      <c r="A487" s="8"/>
      <c r="B487" s="8" t="str">
        <f>IF(ISBLANK(A487),"",VLOOKUP(A487,DOI_URL!$B$1:$C$74,2,FALSE()))</f>
        <v/>
      </c>
      <c r="C487" s="8"/>
      <c r="D487" s="8"/>
      <c r="I487" s="8"/>
      <c r="J487" s="8"/>
    </row>
    <row r="488">
      <c r="A488" s="8"/>
      <c r="B488" s="8" t="str">
        <f>IF(ISBLANK(A488),"",VLOOKUP(A488,DOI_URL!$B$1:$C$74,2,FALSE()))</f>
        <v/>
      </c>
      <c r="C488" s="8"/>
      <c r="D488" s="8"/>
      <c r="I488" s="8"/>
      <c r="J488" s="8"/>
    </row>
    <row r="489">
      <c r="A489" s="8"/>
      <c r="B489" s="8" t="str">
        <f>IF(ISBLANK(A489),"",VLOOKUP(A489,DOI_URL!$B$1:$C$74,2,FALSE()))</f>
        <v/>
      </c>
      <c r="C489" s="8"/>
      <c r="D489" s="8"/>
      <c r="I489" s="8"/>
      <c r="J489" s="8"/>
    </row>
    <row r="490">
      <c r="A490" s="8"/>
      <c r="B490" s="8" t="str">
        <f>IF(ISBLANK(A490),"",VLOOKUP(A490,DOI_URL!$B$1:$C$74,2,FALSE()))</f>
        <v/>
      </c>
      <c r="C490" s="8"/>
      <c r="D490" s="8"/>
      <c r="I490" s="8"/>
      <c r="J490" s="8"/>
    </row>
    <row r="491">
      <c r="A491" s="8"/>
      <c r="B491" s="8" t="str">
        <f>IF(ISBLANK(A491),"",VLOOKUP(A491,DOI_URL!$B$1:$C$74,2,FALSE()))</f>
        <v/>
      </c>
      <c r="C491" s="8"/>
      <c r="D491" s="8"/>
      <c r="I491" s="8"/>
      <c r="J491" s="8"/>
    </row>
    <row r="492">
      <c r="A492" s="8"/>
      <c r="B492" s="8" t="str">
        <f>IF(ISBLANK(A492),"",VLOOKUP(A492,DOI_URL!$B$1:$C$74,2,FALSE()))</f>
        <v/>
      </c>
      <c r="C492" s="8"/>
      <c r="D492" s="8"/>
      <c r="I492" s="8"/>
      <c r="J492" s="8"/>
    </row>
    <row r="493">
      <c r="A493" s="8"/>
      <c r="B493" s="8" t="str">
        <f>IF(ISBLANK(A493),"",VLOOKUP(A493,DOI_URL!$B$1:$C$74,2,FALSE()))</f>
        <v/>
      </c>
      <c r="C493" s="8"/>
      <c r="D493" s="8"/>
      <c r="I493" s="8"/>
      <c r="J493" s="8"/>
    </row>
    <row r="494">
      <c r="A494" s="8"/>
      <c r="B494" s="8" t="str">
        <f>IF(ISBLANK(A494),"",VLOOKUP(A494,DOI_URL!$B$1:$C$74,2,FALSE()))</f>
        <v/>
      </c>
      <c r="C494" s="8"/>
      <c r="D494" s="8"/>
      <c r="I494" s="8"/>
      <c r="J494" s="8"/>
    </row>
    <row r="495">
      <c r="A495" s="8"/>
      <c r="B495" s="8" t="str">
        <f>IF(ISBLANK(A495),"",VLOOKUP(A495,DOI_URL!$B$1:$C$74,2,FALSE()))</f>
        <v/>
      </c>
      <c r="C495" s="8"/>
      <c r="D495" s="8"/>
      <c r="I495" s="8"/>
      <c r="J495" s="8"/>
    </row>
    <row r="496">
      <c r="A496" s="8"/>
      <c r="B496" s="8" t="str">
        <f>IF(ISBLANK(A496),"",VLOOKUP(A496,DOI_URL!$B$1:$C$74,2,FALSE()))</f>
        <v/>
      </c>
      <c r="C496" s="8"/>
      <c r="D496" s="8"/>
      <c r="I496" s="8"/>
      <c r="J496" s="8"/>
    </row>
    <row r="497">
      <c r="A497" s="8"/>
      <c r="B497" s="8" t="str">
        <f>IF(ISBLANK(A497),"",VLOOKUP(A497,DOI_URL!$B$1:$C$74,2,FALSE()))</f>
        <v/>
      </c>
      <c r="C497" s="8"/>
      <c r="D497" s="8"/>
      <c r="I497" s="8"/>
      <c r="J497" s="8"/>
    </row>
    <row r="498">
      <c r="A498" s="8"/>
      <c r="B498" s="8" t="str">
        <f>IF(ISBLANK(A498),"",VLOOKUP(A498,DOI_URL!$B$1:$C$74,2,FALSE()))</f>
        <v/>
      </c>
      <c r="C498" s="8"/>
      <c r="D498" s="8"/>
      <c r="I498" s="8"/>
      <c r="J498" s="8"/>
    </row>
    <row r="499">
      <c r="A499" s="8"/>
      <c r="B499" s="8" t="str">
        <f>IF(ISBLANK(A499),"",VLOOKUP(A499,DOI_URL!$B$1:$C$74,2,FALSE()))</f>
        <v/>
      </c>
      <c r="C499" s="8"/>
      <c r="D499" s="8"/>
      <c r="I499" s="8"/>
      <c r="J499" s="8"/>
    </row>
    <row r="500">
      <c r="A500" s="8"/>
      <c r="B500" s="8" t="str">
        <f>IF(ISBLANK(A500),"",VLOOKUP(A500,DOI_URL!$B$1:$C$74,2,FALSE()))</f>
        <v/>
      </c>
      <c r="C500" s="8"/>
      <c r="D500" s="8"/>
      <c r="I500" s="8"/>
      <c r="J500" s="8"/>
    </row>
    <row r="501">
      <c r="A501" s="8"/>
      <c r="B501" s="8" t="str">
        <f>IF(ISBLANK(A501),"",VLOOKUP(A501,DOI_URL!$B$1:$C$74,2,FALSE()))</f>
        <v/>
      </c>
      <c r="C501" s="8"/>
      <c r="D501" s="8"/>
      <c r="I501" s="8"/>
      <c r="J501" s="8"/>
    </row>
    <row r="502">
      <c r="A502" s="8"/>
      <c r="B502" s="8" t="str">
        <f>IF(ISBLANK(A502),"",VLOOKUP(A502,DOI_URL!$B$1:$C$74,2,FALSE()))</f>
        <v/>
      </c>
      <c r="C502" s="8"/>
      <c r="D502" s="8"/>
      <c r="I502" s="8"/>
      <c r="J502" s="8"/>
    </row>
    <row r="503">
      <c r="A503" s="8"/>
      <c r="B503" s="8" t="str">
        <f>IF(ISBLANK(A503),"",VLOOKUP(A503,DOI_URL!$B$1:$C$74,2,FALSE()))</f>
        <v/>
      </c>
      <c r="C503" s="8"/>
      <c r="D503" s="8"/>
      <c r="I503" s="8"/>
      <c r="J503" s="8"/>
    </row>
    <row r="504">
      <c r="A504" s="8"/>
      <c r="B504" s="8" t="str">
        <f>IF(ISBLANK(A504),"",VLOOKUP(A504,DOI_URL!$B$1:$C$74,2,FALSE()))</f>
        <v/>
      </c>
      <c r="C504" s="8"/>
      <c r="D504" s="8"/>
      <c r="I504" s="8"/>
      <c r="J504" s="8"/>
    </row>
    <row r="505">
      <c r="A505" s="8"/>
      <c r="B505" s="8" t="str">
        <f>IF(ISBLANK(A505),"",VLOOKUP(A505,DOI_URL!$B$1:$C$74,2,FALSE()))</f>
        <v/>
      </c>
      <c r="C505" s="8"/>
      <c r="D505" s="8"/>
      <c r="I505" s="8"/>
      <c r="J505" s="8"/>
    </row>
    <row r="506">
      <c r="A506" s="8"/>
      <c r="B506" s="8" t="str">
        <f>IF(ISBLANK(A506),"",VLOOKUP(A506,DOI_URL!$B$1:$C$74,2,FALSE()))</f>
        <v/>
      </c>
      <c r="C506" s="8"/>
      <c r="D506" s="8"/>
      <c r="I506" s="8"/>
      <c r="J506" s="8"/>
    </row>
    <row r="507">
      <c r="A507" s="8"/>
      <c r="B507" s="8" t="str">
        <f>IF(ISBLANK(A507),"",VLOOKUP(A507,DOI_URL!$B$1:$C$74,2,FALSE()))</f>
        <v/>
      </c>
      <c r="C507" s="8"/>
      <c r="D507" s="8"/>
      <c r="I507" s="8"/>
      <c r="J507" s="8"/>
    </row>
    <row r="508">
      <c r="A508" s="8"/>
      <c r="B508" s="8" t="str">
        <f>IF(ISBLANK(A508),"",VLOOKUP(A508,DOI_URL!$B$1:$C$74,2,FALSE()))</f>
        <v/>
      </c>
      <c r="C508" s="8"/>
      <c r="D508" s="8"/>
      <c r="I508" s="8"/>
      <c r="J508" s="8"/>
    </row>
    <row r="509">
      <c r="A509" s="8"/>
      <c r="B509" s="8" t="str">
        <f>IF(ISBLANK(A509),"",VLOOKUP(A509,DOI_URL!$B$1:$C$74,2,FALSE()))</f>
        <v/>
      </c>
      <c r="C509" s="8"/>
      <c r="D509" s="8"/>
      <c r="I509" s="8"/>
      <c r="J509" s="8"/>
    </row>
    <row r="510">
      <c r="A510" s="8"/>
      <c r="B510" s="8" t="str">
        <f>IF(ISBLANK(A510),"",VLOOKUP(A510,DOI_URL!$B$1:$C$74,2,FALSE()))</f>
        <v/>
      </c>
      <c r="C510" s="8"/>
      <c r="D510" s="8"/>
      <c r="I510" s="8"/>
      <c r="J510" s="8"/>
    </row>
    <row r="511">
      <c r="A511" s="8"/>
      <c r="B511" s="8" t="str">
        <f>IF(ISBLANK(A511),"",VLOOKUP(A511,DOI_URL!$B$1:$C$74,2,FALSE()))</f>
        <v/>
      </c>
      <c r="C511" s="8"/>
      <c r="D511" s="8"/>
      <c r="I511" s="8"/>
      <c r="J511" s="8"/>
    </row>
    <row r="512">
      <c r="A512" s="8"/>
      <c r="B512" s="8" t="str">
        <f>IF(ISBLANK(A512),"",VLOOKUP(A512,DOI_URL!$B$1:$C$74,2,FALSE()))</f>
        <v/>
      </c>
      <c r="C512" s="8"/>
      <c r="D512" s="8"/>
      <c r="I512" s="8"/>
      <c r="J512" s="8"/>
    </row>
    <row r="513">
      <c r="A513" s="8"/>
      <c r="B513" s="8" t="str">
        <f>IF(ISBLANK(A513),"",VLOOKUP(A513,DOI_URL!$B$1:$C$74,2,FALSE()))</f>
        <v/>
      </c>
      <c r="C513" s="8"/>
      <c r="D513" s="8"/>
      <c r="I513" s="8"/>
      <c r="J513" s="8"/>
    </row>
    <row r="514">
      <c r="A514" s="8"/>
      <c r="B514" s="8" t="str">
        <f>IF(ISBLANK(A514),"",VLOOKUP(A514,DOI_URL!$B$1:$C$74,2,FALSE()))</f>
        <v/>
      </c>
      <c r="C514" s="8"/>
      <c r="D514" s="8"/>
      <c r="I514" s="8"/>
      <c r="J514" s="8"/>
    </row>
    <row r="515">
      <c r="A515" s="8"/>
      <c r="B515" s="8" t="str">
        <f>IF(ISBLANK(A515),"",VLOOKUP(A515,DOI_URL!$B$1:$C$74,2,FALSE()))</f>
        <v/>
      </c>
      <c r="C515" s="8"/>
      <c r="D515" s="8"/>
      <c r="I515" s="8"/>
      <c r="J515" s="8"/>
    </row>
    <row r="516">
      <c r="A516" s="8"/>
      <c r="B516" s="8" t="str">
        <f>IF(ISBLANK(A516),"",VLOOKUP(A516,DOI_URL!$B$1:$C$74,2,FALSE()))</f>
        <v/>
      </c>
      <c r="C516" s="8"/>
      <c r="D516" s="8"/>
      <c r="I516" s="8"/>
      <c r="J516" s="8"/>
    </row>
    <row r="517">
      <c r="A517" s="8"/>
      <c r="B517" s="8" t="str">
        <f>IF(ISBLANK(A517),"",VLOOKUP(A517,DOI_URL!$B$1:$C$74,2,FALSE()))</f>
        <v/>
      </c>
      <c r="C517" s="8"/>
      <c r="D517" s="8"/>
      <c r="I517" s="8"/>
      <c r="J517" s="8"/>
    </row>
    <row r="518">
      <c r="A518" s="8"/>
      <c r="B518" s="8" t="str">
        <f>IF(ISBLANK(A518),"",VLOOKUP(A518,DOI_URL!$B$1:$C$74,2,FALSE()))</f>
        <v/>
      </c>
      <c r="C518" s="8"/>
      <c r="D518" s="8"/>
      <c r="I518" s="8"/>
      <c r="J518" s="8"/>
    </row>
    <row r="519">
      <c r="A519" s="8"/>
      <c r="B519" s="8" t="str">
        <f>IF(ISBLANK(A519),"",VLOOKUP(A519,DOI_URL!$B$1:$C$74,2,FALSE()))</f>
        <v/>
      </c>
      <c r="C519" s="8"/>
      <c r="D519" s="8"/>
      <c r="I519" s="8"/>
      <c r="J519" s="8"/>
    </row>
    <row r="520">
      <c r="A520" s="8"/>
      <c r="B520" s="8" t="str">
        <f>IF(ISBLANK(A520),"",VLOOKUP(A520,DOI_URL!$B$1:$C$74,2,FALSE()))</f>
        <v/>
      </c>
      <c r="C520" s="8"/>
      <c r="D520" s="8"/>
      <c r="I520" s="8"/>
      <c r="J520" s="8"/>
    </row>
    <row r="521">
      <c r="A521" s="8"/>
      <c r="B521" s="8" t="str">
        <f>IF(ISBLANK(A521),"",VLOOKUP(A521,DOI_URL!$B$1:$C$74,2,FALSE()))</f>
        <v/>
      </c>
      <c r="C521" s="8"/>
      <c r="D521" s="8"/>
      <c r="I521" s="8"/>
      <c r="J521" s="8"/>
    </row>
    <row r="522">
      <c r="A522" s="8"/>
      <c r="B522" s="8" t="str">
        <f>IF(ISBLANK(A522),"",VLOOKUP(A522,DOI_URL!$B$1:$C$74,2,FALSE()))</f>
        <v/>
      </c>
      <c r="C522" s="8"/>
      <c r="D522" s="8"/>
      <c r="I522" s="8"/>
      <c r="J522" s="8"/>
    </row>
    <row r="523">
      <c r="A523" s="8"/>
      <c r="B523" s="8" t="str">
        <f>IF(ISBLANK(A523),"",VLOOKUP(A523,DOI_URL!$B$1:$C$74,2,FALSE()))</f>
        <v/>
      </c>
      <c r="C523" s="8"/>
      <c r="D523" s="8"/>
      <c r="I523" s="8"/>
      <c r="J523" s="8"/>
    </row>
    <row r="524">
      <c r="A524" s="8"/>
      <c r="B524" s="8" t="str">
        <f>IF(ISBLANK(A524),"",VLOOKUP(A524,DOI_URL!$B$1:$C$74,2,FALSE()))</f>
        <v/>
      </c>
      <c r="C524" s="8"/>
      <c r="D524" s="8"/>
      <c r="I524" s="8"/>
      <c r="J524" s="8"/>
    </row>
    <row r="525">
      <c r="A525" s="8"/>
      <c r="B525" s="8" t="str">
        <f>IF(ISBLANK(A525),"",VLOOKUP(A525,DOI_URL!$B$1:$C$74,2,FALSE()))</f>
        <v/>
      </c>
      <c r="C525" s="8"/>
      <c r="D525" s="8"/>
      <c r="I525" s="8"/>
      <c r="J525" s="8"/>
    </row>
    <row r="526">
      <c r="A526" s="8"/>
      <c r="B526" s="8" t="str">
        <f>IF(ISBLANK(A526),"",VLOOKUP(A526,DOI_URL!$B$1:$C$74,2,FALSE()))</f>
        <v/>
      </c>
      <c r="C526" s="8"/>
      <c r="D526" s="8"/>
      <c r="I526" s="8"/>
      <c r="J526" s="8"/>
    </row>
    <row r="527">
      <c r="A527" s="8"/>
      <c r="B527" s="8" t="str">
        <f>IF(ISBLANK(A527),"",VLOOKUP(A527,DOI_URL!$B$1:$C$74,2,FALSE()))</f>
        <v/>
      </c>
      <c r="C527" s="8"/>
      <c r="D527" s="8"/>
      <c r="I527" s="8"/>
      <c r="J527" s="8"/>
    </row>
    <row r="528">
      <c r="A528" s="8"/>
      <c r="B528" s="8" t="str">
        <f>IF(ISBLANK(A528),"",VLOOKUP(A528,DOI_URL!$B$1:$C$74,2,FALSE()))</f>
        <v/>
      </c>
      <c r="C528" s="8"/>
      <c r="D528" s="8"/>
      <c r="I528" s="8"/>
      <c r="J528" s="8"/>
    </row>
    <row r="529">
      <c r="A529" s="8"/>
      <c r="B529" s="8" t="str">
        <f>IF(ISBLANK(A529),"",VLOOKUP(A529,DOI_URL!$B$1:$C$74,2,FALSE()))</f>
        <v/>
      </c>
      <c r="C529" s="8"/>
      <c r="D529" s="8"/>
      <c r="I529" s="8"/>
      <c r="J529" s="8"/>
    </row>
    <row r="530">
      <c r="A530" s="8"/>
      <c r="B530" s="8" t="str">
        <f>IF(ISBLANK(A530),"",VLOOKUP(A530,DOI_URL!$B$1:$C$74,2,FALSE()))</f>
        <v/>
      </c>
      <c r="C530" s="8"/>
      <c r="D530" s="8"/>
      <c r="I530" s="8"/>
      <c r="J530" s="8"/>
    </row>
    <row r="531">
      <c r="A531" s="8"/>
      <c r="B531" s="8" t="str">
        <f>IF(ISBLANK(A531),"",VLOOKUP(A531,DOI_URL!$B$1:$C$74,2,FALSE()))</f>
        <v/>
      </c>
      <c r="C531" s="8"/>
      <c r="D531" s="8"/>
      <c r="I531" s="8"/>
      <c r="J531" s="8"/>
    </row>
    <row r="532">
      <c r="A532" s="8"/>
      <c r="B532" s="8" t="str">
        <f>IF(ISBLANK(A532),"",VLOOKUP(A532,DOI_URL!$B$1:$C$74,2,FALSE()))</f>
        <v/>
      </c>
      <c r="C532" s="8"/>
      <c r="D532" s="8"/>
      <c r="I532" s="8"/>
      <c r="J532" s="8"/>
    </row>
    <row r="533">
      <c r="A533" s="8"/>
      <c r="B533" s="8" t="str">
        <f>IF(ISBLANK(A533),"",VLOOKUP(A533,DOI_URL!$B$1:$C$74,2,FALSE()))</f>
        <v/>
      </c>
      <c r="C533" s="8"/>
      <c r="D533" s="8"/>
      <c r="I533" s="8"/>
      <c r="J533" s="8"/>
    </row>
    <row r="534">
      <c r="A534" s="8"/>
      <c r="B534" s="8" t="str">
        <f>IF(ISBLANK(A534),"",VLOOKUP(A534,DOI_URL!$B$1:$C$74,2,FALSE()))</f>
        <v/>
      </c>
      <c r="C534" s="8"/>
      <c r="D534" s="8"/>
      <c r="I534" s="8"/>
      <c r="J534" s="8"/>
    </row>
    <row r="535">
      <c r="A535" s="8"/>
      <c r="B535" s="8" t="str">
        <f>IF(ISBLANK(A535),"",VLOOKUP(A535,DOI_URL!$B$1:$C$74,2,FALSE()))</f>
        <v/>
      </c>
      <c r="C535" s="8"/>
      <c r="D535" s="8"/>
      <c r="I535" s="8"/>
      <c r="J535" s="8"/>
    </row>
    <row r="536">
      <c r="A536" s="8"/>
      <c r="B536" s="8" t="str">
        <f>IF(ISBLANK(A536),"",VLOOKUP(A536,DOI_URL!$B$1:$C$74,2,FALSE()))</f>
        <v/>
      </c>
      <c r="C536" s="8"/>
      <c r="D536" s="8"/>
      <c r="I536" s="8"/>
      <c r="J536" s="8"/>
    </row>
    <row r="537">
      <c r="A537" s="8"/>
      <c r="B537" s="8" t="str">
        <f>IF(ISBLANK(A537),"",VLOOKUP(A537,DOI_URL!$B$1:$C$74,2,FALSE()))</f>
        <v/>
      </c>
      <c r="C537" s="8"/>
      <c r="D537" s="8"/>
      <c r="I537" s="8"/>
      <c r="J537" s="8"/>
    </row>
    <row r="538">
      <c r="A538" s="8"/>
      <c r="B538" s="8" t="str">
        <f>IF(ISBLANK(A538),"",VLOOKUP(A538,DOI_URL!$B$1:$C$74,2,FALSE()))</f>
        <v/>
      </c>
      <c r="C538" s="8"/>
      <c r="D538" s="8"/>
      <c r="I538" s="8"/>
      <c r="J538" s="8"/>
    </row>
    <row r="539">
      <c r="A539" s="8"/>
      <c r="B539" s="8" t="str">
        <f>IF(ISBLANK(A539),"",VLOOKUP(A539,DOI_URL!$B$1:$C$74,2,FALSE()))</f>
        <v/>
      </c>
      <c r="C539" s="8"/>
      <c r="D539" s="8"/>
      <c r="I539" s="8"/>
      <c r="J539" s="8"/>
    </row>
    <row r="540">
      <c r="A540" s="8"/>
      <c r="B540" s="8" t="str">
        <f>IF(ISBLANK(A540),"",VLOOKUP(A540,DOI_URL!$B$1:$C$74,2,FALSE()))</f>
        <v/>
      </c>
      <c r="C540" s="8"/>
      <c r="D540" s="8"/>
      <c r="I540" s="8"/>
      <c r="J540" s="8"/>
    </row>
    <row r="541">
      <c r="A541" s="8"/>
      <c r="B541" s="8" t="str">
        <f>IF(ISBLANK(A541),"",VLOOKUP(A541,DOI_URL!$B$1:$C$74,2,FALSE()))</f>
        <v/>
      </c>
      <c r="C541" s="8"/>
      <c r="D541" s="8"/>
      <c r="I541" s="8"/>
      <c r="J541" s="8"/>
    </row>
    <row r="542">
      <c r="A542" s="8"/>
      <c r="B542" s="8" t="str">
        <f>IF(ISBLANK(A542),"",VLOOKUP(A542,DOI_URL!$B$1:$C$74,2,FALSE()))</f>
        <v/>
      </c>
      <c r="C542" s="8"/>
      <c r="D542" s="8"/>
      <c r="I542" s="8"/>
      <c r="J542" s="8"/>
    </row>
    <row r="543">
      <c r="A543" s="8"/>
      <c r="B543" s="8" t="str">
        <f>IF(ISBLANK(A543),"",VLOOKUP(A543,DOI_URL!$B$1:$C$74,2,FALSE()))</f>
        <v/>
      </c>
      <c r="C543" s="8"/>
      <c r="D543" s="8"/>
      <c r="I543" s="8"/>
      <c r="J543" s="8"/>
    </row>
    <row r="544">
      <c r="A544" s="8"/>
      <c r="B544" s="8" t="str">
        <f>IF(ISBLANK(A544),"",VLOOKUP(A544,DOI_URL!$B$1:$C$74,2,FALSE()))</f>
        <v/>
      </c>
      <c r="C544" s="8"/>
      <c r="D544" s="8"/>
      <c r="I544" s="8"/>
      <c r="J544" s="8"/>
    </row>
    <row r="545">
      <c r="A545" s="8"/>
      <c r="B545" s="8" t="str">
        <f>IF(ISBLANK(A545),"",VLOOKUP(A545,DOI_URL!$B$1:$C$74,2,FALSE()))</f>
        <v/>
      </c>
      <c r="C545" s="8"/>
      <c r="D545" s="8"/>
      <c r="I545" s="8"/>
      <c r="J545" s="8"/>
    </row>
    <row r="546">
      <c r="A546" s="8"/>
      <c r="B546" s="8" t="str">
        <f>IF(ISBLANK(A546),"",VLOOKUP(A546,DOI_URL!$B$1:$C$74,2,FALSE()))</f>
        <v/>
      </c>
      <c r="C546" s="8"/>
      <c r="D546" s="8"/>
      <c r="I546" s="8"/>
      <c r="J546" s="8"/>
    </row>
    <row r="547">
      <c r="A547" s="8"/>
      <c r="B547" s="8" t="str">
        <f>IF(ISBLANK(A547),"",VLOOKUP(A547,DOI_URL!$B$1:$C$74,2,FALSE()))</f>
        <v/>
      </c>
      <c r="C547" s="8"/>
      <c r="D547" s="8"/>
      <c r="I547" s="8"/>
      <c r="J547" s="8"/>
    </row>
    <row r="548">
      <c r="A548" s="8"/>
      <c r="B548" s="8" t="str">
        <f>IF(ISBLANK(A548),"",VLOOKUP(A548,DOI_URL!$B$1:$C$74,2,FALSE()))</f>
        <v/>
      </c>
      <c r="C548" s="8"/>
      <c r="D548" s="8"/>
      <c r="I548" s="8"/>
      <c r="J548" s="8"/>
    </row>
    <row r="549">
      <c r="A549" s="8"/>
      <c r="B549" s="8" t="str">
        <f>IF(ISBLANK(A549),"",VLOOKUP(A549,DOI_URL!$B$1:$C$74,2,FALSE()))</f>
        <v/>
      </c>
      <c r="C549" s="8"/>
      <c r="D549" s="8"/>
      <c r="I549" s="8"/>
      <c r="J549" s="8"/>
    </row>
    <row r="550">
      <c r="A550" s="8"/>
      <c r="B550" s="8" t="str">
        <f>IF(ISBLANK(A550),"",VLOOKUP(A550,DOI_URL!$B$1:$C$74,2,FALSE()))</f>
        <v/>
      </c>
      <c r="C550" s="8"/>
      <c r="D550" s="8"/>
      <c r="I550" s="8"/>
      <c r="J550" s="8"/>
    </row>
    <row r="551">
      <c r="A551" s="8"/>
      <c r="B551" s="8" t="str">
        <f>IF(ISBLANK(A551),"",VLOOKUP(A551,DOI_URL!$B$1:$C$74,2,FALSE()))</f>
        <v/>
      </c>
      <c r="C551" s="8"/>
      <c r="D551" s="8"/>
      <c r="I551" s="8"/>
      <c r="J551" s="8"/>
    </row>
    <row r="552">
      <c r="A552" s="8"/>
      <c r="B552" s="8" t="str">
        <f>IF(ISBLANK(A552),"",VLOOKUP(A552,DOI_URL!$B$1:$C$74,2,FALSE()))</f>
        <v/>
      </c>
      <c r="C552" s="8"/>
      <c r="D552" s="8"/>
      <c r="I552" s="8"/>
      <c r="J552" s="8"/>
    </row>
    <row r="553">
      <c r="A553" s="8"/>
      <c r="B553" s="8" t="str">
        <f>IF(ISBLANK(A553),"",VLOOKUP(A553,DOI_URL!$B$1:$C$74,2,FALSE()))</f>
        <v/>
      </c>
      <c r="C553" s="8"/>
      <c r="D553" s="8"/>
      <c r="I553" s="8"/>
      <c r="J553" s="8"/>
    </row>
    <row r="554">
      <c r="A554" s="8"/>
      <c r="B554" s="8" t="str">
        <f>IF(ISBLANK(A554),"",VLOOKUP(A554,DOI_URL!$B$1:$C$74,2,FALSE()))</f>
        <v/>
      </c>
      <c r="C554" s="8"/>
      <c r="D554" s="8"/>
      <c r="I554" s="8"/>
      <c r="J554" s="8"/>
    </row>
    <row r="555">
      <c r="A555" s="8"/>
      <c r="B555" s="8" t="str">
        <f>IF(ISBLANK(A555),"",VLOOKUP(A555,DOI_URL!$B$1:$C$74,2,FALSE()))</f>
        <v/>
      </c>
      <c r="C555" s="8"/>
      <c r="D555" s="8"/>
      <c r="I555" s="8"/>
      <c r="J555" s="8"/>
    </row>
    <row r="556">
      <c r="A556" s="8"/>
      <c r="B556" s="8" t="str">
        <f>IF(ISBLANK(A556),"",VLOOKUP(A556,DOI_URL!$B$1:$C$74,2,FALSE()))</f>
        <v/>
      </c>
      <c r="C556" s="8"/>
      <c r="D556" s="8"/>
      <c r="I556" s="8"/>
      <c r="J556" s="8"/>
    </row>
    <row r="557">
      <c r="A557" s="8"/>
      <c r="B557" s="8" t="str">
        <f>IF(ISBLANK(A557),"",VLOOKUP(A557,DOI_URL!$B$1:$C$74,2,FALSE()))</f>
        <v/>
      </c>
      <c r="C557" s="8"/>
      <c r="D557" s="8"/>
      <c r="I557" s="8"/>
      <c r="J557" s="8"/>
    </row>
    <row r="558">
      <c r="A558" s="8"/>
      <c r="B558" s="8" t="str">
        <f>IF(ISBLANK(A558),"",VLOOKUP(A558,DOI_URL!$B$1:$C$74,2,FALSE()))</f>
        <v/>
      </c>
      <c r="C558" s="8"/>
      <c r="D558" s="8"/>
      <c r="I558" s="8"/>
      <c r="J558" s="8"/>
    </row>
    <row r="559">
      <c r="A559" s="8"/>
      <c r="B559" s="8" t="str">
        <f>IF(ISBLANK(A559),"",VLOOKUP(A559,DOI_URL!$B$1:$C$74,2,FALSE()))</f>
        <v/>
      </c>
      <c r="C559" s="8"/>
      <c r="D559" s="8"/>
      <c r="I559" s="8"/>
      <c r="J559" s="8"/>
    </row>
    <row r="560">
      <c r="A560" s="8"/>
      <c r="B560" s="8" t="str">
        <f>IF(ISBLANK(A560),"",VLOOKUP(A560,DOI_URL!$B$1:$C$74,2,FALSE()))</f>
        <v/>
      </c>
      <c r="C560" s="8"/>
      <c r="D560" s="8"/>
      <c r="I560" s="8"/>
      <c r="J560" s="8"/>
    </row>
    <row r="561">
      <c r="A561" s="8"/>
      <c r="B561" s="8" t="str">
        <f>IF(ISBLANK(A561),"",VLOOKUP(A561,DOI_URL!$B$1:$C$74,2,FALSE()))</f>
        <v/>
      </c>
      <c r="C561" s="8"/>
      <c r="D561" s="8"/>
      <c r="I561" s="8"/>
      <c r="J561" s="8"/>
    </row>
    <row r="562">
      <c r="A562" s="8"/>
      <c r="B562" s="8" t="str">
        <f>IF(ISBLANK(A562),"",VLOOKUP(A562,DOI_URL!$B$1:$C$74,2,FALSE()))</f>
        <v/>
      </c>
      <c r="C562" s="8"/>
      <c r="D562" s="8"/>
      <c r="I562" s="8"/>
      <c r="J562" s="8"/>
    </row>
    <row r="563">
      <c r="A563" s="8"/>
      <c r="B563" s="8" t="str">
        <f>IF(ISBLANK(A563),"",VLOOKUP(A563,DOI_URL!$B$1:$C$74,2,FALSE()))</f>
        <v/>
      </c>
      <c r="C563" s="8"/>
      <c r="D563" s="8"/>
      <c r="I563" s="8"/>
      <c r="J563" s="8"/>
    </row>
    <row r="564">
      <c r="A564" s="8"/>
      <c r="B564" s="8" t="str">
        <f>IF(ISBLANK(A564),"",VLOOKUP(A564,DOI_URL!$B$1:$C$74,2,FALSE()))</f>
        <v/>
      </c>
      <c r="C564" s="8"/>
      <c r="D564" s="8"/>
      <c r="I564" s="8"/>
      <c r="J564" s="8"/>
    </row>
    <row r="565">
      <c r="A565" s="8"/>
      <c r="B565" s="8" t="str">
        <f>IF(ISBLANK(A565),"",VLOOKUP(A565,DOI_URL!$B$1:$C$74,2,FALSE()))</f>
        <v/>
      </c>
      <c r="C565" s="8"/>
      <c r="D565" s="8"/>
      <c r="I565" s="8"/>
      <c r="J565" s="8"/>
    </row>
    <row r="566">
      <c r="A566" s="8"/>
      <c r="B566" s="8" t="str">
        <f>IF(ISBLANK(A566),"",VLOOKUP(A566,DOI_URL!$B$1:$C$74,2,FALSE()))</f>
        <v/>
      </c>
      <c r="C566" s="8"/>
      <c r="D566" s="8"/>
      <c r="I566" s="8"/>
      <c r="J566" s="8"/>
    </row>
    <row r="567">
      <c r="A567" s="8"/>
      <c r="B567" s="8" t="str">
        <f>IF(ISBLANK(A567),"",VLOOKUP(A567,DOI_URL!$B$1:$C$74,2,FALSE()))</f>
        <v/>
      </c>
      <c r="C567" s="8"/>
      <c r="D567" s="8"/>
      <c r="I567" s="8"/>
      <c r="J567" s="8"/>
    </row>
    <row r="568">
      <c r="A568" s="8"/>
      <c r="B568" s="8" t="str">
        <f>IF(ISBLANK(A568),"",VLOOKUP(A568,DOI_URL!$B$1:$C$74,2,FALSE()))</f>
        <v/>
      </c>
      <c r="C568" s="8"/>
      <c r="D568" s="8"/>
      <c r="I568" s="8"/>
      <c r="J568" s="8"/>
    </row>
    <row r="569">
      <c r="A569" s="8"/>
      <c r="B569" s="8" t="str">
        <f>IF(ISBLANK(A569),"",VLOOKUP(A569,DOI_URL!$B$1:$C$74,2,FALSE()))</f>
        <v/>
      </c>
      <c r="C569" s="8"/>
      <c r="D569" s="8"/>
      <c r="I569" s="8"/>
      <c r="J569" s="8"/>
    </row>
    <row r="570">
      <c r="A570" s="8"/>
      <c r="B570" s="8" t="str">
        <f>IF(ISBLANK(A570),"",VLOOKUP(A570,DOI_URL!$B$1:$C$74,2,FALSE()))</f>
        <v/>
      </c>
      <c r="C570" s="8"/>
      <c r="D570" s="8"/>
      <c r="I570" s="8"/>
      <c r="J570" s="8"/>
    </row>
    <row r="571">
      <c r="A571" s="8"/>
      <c r="B571" s="8" t="str">
        <f>IF(ISBLANK(A571),"",VLOOKUP(A571,DOI_URL!$B$1:$C$74,2,FALSE()))</f>
        <v/>
      </c>
      <c r="C571" s="8"/>
      <c r="D571" s="8"/>
      <c r="I571" s="8"/>
      <c r="J571" s="8"/>
    </row>
    <row r="572">
      <c r="A572" s="8"/>
      <c r="B572" s="8" t="str">
        <f>IF(ISBLANK(A572),"",VLOOKUP(A572,DOI_URL!$B$1:$C$74,2,FALSE()))</f>
        <v/>
      </c>
      <c r="C572" s="8"/>
      <c r="D572" s="8"/>
      <c r="I572" s="8"/>
      <c r="J572" s="8"/>
    </row>
    <row r="573">
      <c r="A573" s="8"/>
      <c r="B573" s="8" t="str">
        <f>IF(ISBLANK(A573),"",VLOOKUP(A573,DOI_URL!$B$1:$C$74,2,FALSE()))</f>
        <v/>
      </c>
      <c r="C573" s="8"/>
      <c r="D573" s="8"/>
      <c r="I573" s="8"/>
      <c r="J573" s="8"/>
    </row>
    <row r="574">
      <c r="A574" s="8"/>
      <c r="B574" s="8" t="str">
        <f>IF(ISBLANK(A574),"",VLOOKUP(A574,DOI_URL!$B$1:$C$74,2,FALSE()))</f>
        <v/>
      </c>
      <c r="C574" s="8"/>
      <c r="D574" s="8"/>
      <c r="I574" s="8"/>
      <c r="J574" s="8"/>
    </row>
    <row r="575">
      <c r="A575" s="8"/>
      <c r="B575" s="8" t="str">
        <f>IF(ISBLANK(A575),"",VLOOKUP(A575,DOI_URL!$B$1:$C$74,2,FALSE()))</f>
        <v/>
      </c>
      <c r="C575" s="8"/>
      <c r="D575" s="8"/>
      <c r="I575" s="8"/>
      <c r="J575" s="8"/>
    </row>
    <row r="576">
      <c r="A576" s="8"/>
      <c r="B576" s="8" t="str">
        <f>IF(ISBLANK(A576),"",VLOOKUP(A576,DOI_URL!$B$1:$C$74,2,FALSE()))</f>
        <v/>
      </c>
      <c r="C576" s="8"/>
      <c r="D576" s="8"/>
      <c r="I576" s="8"/>
      <c r="J576" s="8"/>
    </row>
    <row r="577">
      <c r="A577" s="8"/>
      <c r="B577" s="8" t="str">
        <f>IF(ISBLANK(A577),"",VLOOKUP(A577,DOI_URL!$B$1:$C$74,2,FALSE()))</f>
        <v/>
      </c>
      <c r="C577" s="8"/>
      <c r="D577" s="8"/>
      <c r="I577" s="8"/>
      <c r="J577" s="8"/>
    </row>
    <row r="578">
      <c r="A578" s="8"/>
      <c r="B578" s="8" t="str">
        <f>IF(ISBLANK(A578),"",VLOOKUP(A578,DOI_URL!$B$1:$C$74,2,FALSE()))</f>
        <v/>
      </c>
      <c r="C578" s="8"/>
      <c r="D578" s="8"/>
      <c r="I578" s="8"/>
      <c r="J578" s="8"/>
    </row>
    <row r="579">
      <c r="A579" s="8"/>
      <c r="B579" s="8" t="str">
        <f>IF(ISBLANK(A579),"",VLOOKUP(A579,DOI_URL!$B$1:$C$74,2,FALSE()))</f>
        <v/>
      </c>
      <c r="C579" s="8"/>
      <c r="D579" s="8"/>
      <c r="I579" s="8"/>
      <c r="J579" s="8"/>
    </row>
    <row r="580">
      <c r="A580" s="8"/>
      <c r="B580" s="8" t="str">
        <f>IF(ISBLANK(A580),"",VLOOKUP(A580,DOI_URL!$B$1:$C$74,2,FALSE()))</f>
        <v/>
      </c>
      <c r="C580" s="8"/>
      <c r="D580" s="8"/>
      <c r="I580" s="8"/>
      <c r="J580" s="8"/>
    </row>
    <row r="581">
      <c r="A581" s="8"/>
      <c r="B581" s="8" t="str">
        <f>IF(ISBLANK(A581),"",VLOOKUP(A581,DOI_URL!$B$1:$C$74,2,FALSE()))</f>
        <v/>
      </c>
      <c r="C581" s="8"/>
      <c r="D581" s="8"/>
      <c r="I581" s="8"/>
      <c r="J581" s="8"/>
    </row>
    <row r="582">
      <c r="A582" s="8"/>
      <c r="B582" s="8" t="str">
        <f>IF(ISBLANK(A582),"",VLOOKUP(A582,DOI_URL!$B$1:$C$74,2,FALSE()))</f>
        <v/>
      </c>
      <c r="C582" s="8"/>
      <c r="D582" s="8"/>
      <c r="I582" s="8"/>
      <c r="J582" s="8"/>
    </row>
    <row r="583">
      <c r="A583" s="8"/>
      <c r="B583" s="8" t="str">
        <f>IF(ISBLANK(A583),"",VLOOKUP(A583,DOI_URL!$B$1:$C$74,2,FALSE()))</f>
        <v/>
      </c>
      <c r="C583" s="8"/>
      <c r="D583" s="8"/>
      <c r="I583" s="8"/>
      <c r="J583" s="8"/>
    </row>
    <row r="584">
      <c r="A584" s="8"/>
      <c r="B584" s="8" t="str">
        <f>IF(ISBLANK(A584),"",VLOOKUP(A584,DOI_URL!$B$1:$C$74,2,FALSE()))</f>
        <v/>
      </c>
      <c r="C584" s="8"/>
      <c r="D584" s="8"/>
      <c r="I584" s="8"/>
      <c r="J584" s="8"/>
    </row>
    <row r="585">
      <c r="A585" s="8"/>
      <c r="B585" s="8" t="str">
        <f>IF(ISBLANK(A585),"",VLOOKUP(A585,DOI_URL!$B$1:$C$74,2,FALSE()))</f>
        <v/>
      </c>
      <c r="C585" s="8"/>
      <c r="D585" s="8"/>
      <c r="I585" s="8"/>
      <c r="J585" s="8"/>
    </row>
    <row r="586">
      <c r="A586" s="8"/>
      <c r="B586" s="8" t="str">
        <f>IF(ISBLANK(A586),"",VLOOKUP(A586,DOI_URL!$B$1:$C$74,2,FALSE()))</f>
        <v/>
      </c>
      <c r="C586" s="8"/>
      <c r="D586" s="8"/>
      <c r="I586" s="8"/>
      <c r="J586" s="8"/>
    </row>
    <row r="587">
      <c r="A587" s="8"/>
      <c r="B587" s="8" t="str">
        <f>IF(ISBLANK(A587),"",VLOOKUP(A587,DOI_URL!$B$1:$C$74,2,FALSE()))</f>
        <v/>
      </c>
      <c r="C587" s="8"/>
      <c r="D587" s="8"/>
      <c r="I587" s="8"/>
      <c r="J587" s="8"/>
    </row>
    <row r="588">
      <c r="A588" s="8"/>
      <c r="B588" s="8" t="str">
        <f>IF(ISBLANK(A588),"",VLOOKUP(A588,DOI_URL!$B$1:$C$74,2,FALSE()))</f>
        <v/>
      </c>
      <c r="C588" s="8"/>
      <c r="D588" s="8"/>
      <c r="I588" s="8"/>
      <c r="J588" s="8"/>
    </row>
    <row r="589">
      <c r="A589" s="8"/>
      <c r="B589" s="8" t="str">
        <f>IF(ISBLANK(A589),"",VLOOKUP(A589,DOI_URL!$B$1:$C$74,2,FALSE()))</f>
        <v/>
      </c>
      <c r="C589" s="8"/>
      <c r="D589" s="8"/>
      <c r="I589" s="8"/>
      <c r="J589" s="8"/>
    </row>
    <row r="590">
      <c r="A590" s="8"/>
      <c r="B590" s="8" t="str">
        <f>IF(ISBLANK(A590),"",VLOOKUP(A590,DOI_URL!$B$1:$C$74,2,FALSE()))</f>
        <v/>
      </c>
      <c r="C590" s="8"/>
      <c r="D590" s="8"/>
      <c r="I590" s="8"/>
      <c r="J590" s="8"/>
    </row>
    <row r="591">
      <c r="A591" s="8"/>
      <c r="B591" s="8" t="str">
        <f>IF(ISBLANK(A591),"",VLOOKUP(A591,DOI_URL!$B$1:$C$74,2,FALSE()))</f>
        <v/>
      </c>
      <c r="C591" s="8"/>
      <c r="D591" s="8"/>
      <c r="I591" s="8"/>
      <c r="J591" s="8"/>
    </row>
    <row r="592">
      <c r="A592" s="8"/>
      <c r="B592" s="8" t="str">
        <f>IF(ISBLANK(A592),"",VLOOKUP(A592,DOI_URL!$B$1:$C$74,2,FALSE()))</f>
        <v/>
      </c>
      <c r="C592" s="8"/>
      <c r="D592" s="8"/>
      <c r="I592" s="8"/>
      <c r="J592" s="8"/>
    </row>
    <row r="593">
      <c r="A593" s="8"/>
      <c r="B593" s="8" t="str">
        <f>IF(ISBLANK(A593),"",VLOOKUP(A593,DOI_URL!$B$1:$C$74,2,FALSE()))</f>
        <v/>
      </c>
      <c r="C593" s="8"/>
      <c r="D593" s="8"/>
      <c r="I593" s="8"/>
      <c r="J593" s="8"/>
    </row>
    <row r="594">
      <c r="A594" s="8"/>
      <c r="B594" s="8" t="str">
        <f>IF(ISBLANK(A594),"",VLOOKUP(A594,DOI_URL!$B$1:$C$74,2,FALSE()))</f>
        <v/>
      </c>
      <c r="C594" s="8"/>
      <c r="D594" s="8"/>
      <c r="I594" s="8"/>
      <c r="J594" s="8"/>
    </row>
    <row r="595">
      <c r="A595" s="8"/>
      <c r="B595" s="8" t="str">
        <f>IF(ISBLANK(A595),"",VLOOKUP(A595,DOI_URL!$B$1:$C$74,2,FALSE()))</f>
        <v/>
      </c>
      <c r="C595" s="8"/>
      <c r="D595" s="8"/>
      <c r="I595" s="8"/>
      <c r="J595" s="8"/>
    </row>
    <row r="596">
      <c r="A596" s="8"/>
      <c r="B596" s="8" t="str">
        <f>IF(ISBLANK(A596),"",VLOOKUP(A596,DOI_URL!$B$1:$C$74,2,FALSE()))</f>
        <v/>
      </c>
      <c r="C596" s="8"/>
      <c r="D596" s="8"/>
      <c r="I596" s="8"/>
      <c r="J596" s="8"/>
    </row>
    <row r="597">
      <c r="A597" s="8"/>
      <c r="B597" s="8" t="str">
        <f>IF(ISBLANK(A597),"",VLOOKUP(A597,DOI_URL!$B$1:$C$74,2,FALSE()))</f>
        <v/>
      </c>
      <c r="C597" s="8"/>
      <c r="D597" s="8"/>
      <c r="I597" s="8"/>
      <c r="J597" s="8"/>
    </row>
    <row r="598">
      <c r="A598" s="8"/>
      <c r="B598" s="8" t="str">
        <f>IF(ISBLANK(A598),"",VLOOKUP(A598,DOI_URL!$B$1:$C$74,2,FALSE()))</f>
        <v/>
      </c>
      <c r="C598" s="8"/>
      <c r="D598" s="8"/>
      <c r="I598" s="8"/>
      <c r="J598" s="8"/>
    </row>
    <row r="599">
      <c r="A599" s="8"/>
      <c r="B599" s="8" t="str">
        <f>IF(ISBLANK(A599),"",VLOOKUP(A599,DOI_URL!$B$1:$C$74,2,FALSE()))</f>
        <v/>
      </c>
      <c r="C599" s="8"/>
      <c r="D599" s="8"/>
      <c r="I599" s="8"/>
      <c r="J599" s="8"/>
    </row>
    <row r="600">
      <c r="A600" s="8"/>
      <c r="B600" s="8" t="str">
        <f>IF(ISBLANK(A600),"",VLOOKUP(A600,DOI_URL!$B$1:$C$74,2,FALSE()))</f>
        <v/>
      </c>
      <c r="C600" s="8"/>
      <c r="D600" s="8"/>
      <c r="I600" s="8"/>
      <c r="J600" s="8"/>
    </row>
    <row r="601">
      <c r="A601" s="8"/>
      <c r="B601" s="8" t="str">
        <f>IF(ISBLANK(A601),"",VLOOKUP(A601,DOI_URL!$B$1:$C$74,2,FALSE()))</f>
        <v/>
      </c>
      <c r="C601" s="8"/>
      <c r="D601" s="8"/>
      <c r="I601" s="8"/>
      <c r="J601" s="8"/>
    </row>
    <row r="602">
      <c r="A602" s="8"/>
      <c r="B602" s="8" t="str">
        <f>IF(ISBLANK(A602),"",VLOOKUP(A602,DOI_URL!$B$1:$C$74,2,FALSE()))</f>
        <v/>
      </c>
      <c r="C602" s="8"/>
      <c r="D602" s="8"/>
      <c r="I602" s="8"/>
      <c r="J602" s="8"/>
    </row>
    <row r="603">
      <c r="A603" s="8"/>
      <c r="B603" s="8" t="str">
        <f>IF(ISBLANK(A603),"",VLOOKUP(A603,DOI_URL!$B$1:$C$74,2,FALSE()))</f>
        <v/>
      </c>
      <c r="C603" s="8"/>
      <c r="D603" s="8"/>
      <c r="I603" s="8"/>
      <c r="J603" s="8"/>
    </row>
    <row r="604">
      <c r="A604" s="8"/>
      <c r="B604" s="8" t="str">
        <f>IF(ISBLANK(A604),"",VLOOKUP(A604,DOI_URL!$B$1:$C$74,2,FALSE()))</f>
        <v/>
      </c>
      <c r="C604" s="8"/>
      <c r="D604" s="8"/>
      <c r="I604" s="8"/>
      <c r="J604" s="8"/>
    </row>
    <row r="605">
      <c r="A605" s="8"/>
      <c r="B605" s="8" t="str">
        <f>IF(ISBLANK(A605),"",VLOOKUP(A605,DOI_URL!$B$1:$C$74,2,FALSE()))</f>
        <v/>
      </c>
      <c r="C605" s="8"/>
      <c r="D605" s="8"/>
      <c r="I605" s="8"/>
      <c r="J605" s="8"/>
    </row>
    <row r="606">
      <c r="A606" s="8"/>
      <c r="B606" s="8" t="str">
        <f>IF(ISBLANK(A606),"",VLOOKUP(A606,DOI_URL!$B$1:$C$74,2,FALSE()))</f>
        <v/>
      </c>
      <c r="C606" s="8"/>
      <c r="D606" s="8"/>
      <c r="I606" s="8"/>
      <c r="J606" s="8"/>
    </row>
    <row r="607">
      <c r="A607" s="8"/>
      <c r="B607" s="8" t="str">
        <f>IF(ISBLANK(A607),"",VLOOKUP(A607,DOI_URL!$B$1:$C$74,2,FALSE()))</f>
        <v/>
      </c>
      <c r="C607" s="8"/>
      <c r="D607" s="8"/>
      <c r="I607" s="8"/>
      <c r="J607" s="8"/>
    </row>
    <row r="608">
      <c r="A608" s="8"/>
      <c r="B608" s="8" t="str">
        <f>IF(ISBLANK(A608),"",VLOOKUP(A608,DOI_URL!$B$1:$C$74,2,FALSE()))</f>
        <v/>
      </c>
      <c r="C608" s="8"/>
      <c r="D608" s="8"/>
      <c r="I608" s="8"/>
      <c r="J608" s="8"/>
    </row>
    <row r="609">
      <c r="A609" s="8"/>
      <c r="B609" s="8" t="str">
        <f>IF(ISBLANK(A609),"",VLOOKUP(A609,DOI_URL!$B$1:$C$74,2,FALSE()))</f>
        <v/>
      </c>
      <c r="C609" s="8"/>
      <c r="D609" s="8"/>
      <c r="I609" s="8"/>
      <c r="J609" s="8"/>
    </row>
    <row r="610">
      <c r="A610" s="8"/>
      <c r="B610" s="8" t="str">
        <f>IF(ISBLANK(A610),"",VLOOKUP(A610,DOI_URL!$B$1:$C$74,2,FALSE()))</f>
        <v/>
      </c>
      <c r="C610" s="8"/>
      <c r="D610" s="8"/>
      <c r="I610" s="8"/>
      <c r="J610" s="8"/>
    </row>
    <row r="611">
      <c r="A611" s="8"/>
      <c r="B611" s="8" t="str">
        <f>IF(ISBLANK(A611),"",VLOOKUP(A611,DOI_URL!$B$1:$C$74,2,FALSE()))</f>
        <v/>
      </c>
      <c r="C611" s="8"/>
      <c r="D611" s="8"/>
      <c r="I611" s="8"/>
      <c r="J611" s="8"/>
    </row>
    <row r="612">
      <c r="A612" s="8"/>
      <c r="B612" s="8" t="str">
        <f>IF(ISBLANK(A612),"",VLOOKUP(A612,DOI_URL!$B$1:$C$74,2,FALSE()))</f>
        <v/>
      </c>
      <c r="C612" s="8"/>
      <c r="D612" s="8"/>
      <c r="I612" s="8"/>
      <c r="J612" s="8"/>
    </row>
    <row r="613">
      <c r="A613" s="8"/>
      <c r="B613" s="8" t="str">
        <f>IF(ISBLANK(A613),"",VLOOKUP(A613,DOI_URL!$B$1:$C$74,2,FALSE()))</f>
        <v/>
      </c>
      <c r="C613" s="8"/>
      <c r="D613" s="8"/>
      <c r="I613" s="8"/>
      <c r="J613" s="8"/>
    </row>
    <row r="614">
      <c r="A614" s="8"/>
      <c r="B614" s="8" t="str">
        <f>IF(ISBLANK(A614),"",VLOOKUP(A614,DOI_URL!$B$1:$C$74,2,FALSE()))</f>
        <v/>
      </c>
      <c r="C614" s="8"/>
      <c r="D614" s="8"/>
      <c r="I614" s="8"/>
      <c r="J614" s="8"/>
    </row>
    <row r="615">
      <c r="A615" s="8"/>
      <c r="B615" s="8" t="str">
        <f>IF(ISBLANK(A615),"",VLOOKUP(A615,DOI_URL!$B$1:$C$74,2,FALSE()))</f>
        <v/>
      </c>
      <c r="C615" s="8"/>
      <c r="D615" s="8"/>
      <c r="I615" s="8"/>
      <c r="J615" s="8"/>
    </row>
    <row r="616">
      <c r="A616" s="8"/>
      <c r="B616" s="8" t="str">
        <f>IF(ISBLANK(A616),"",VLOOKUP(A616,DOI_URL!$B$1:$C$74,2,FALSE()))</f>
        <v/>
      </c>
      <c r="C616" s="8"/>
      <c r="D616" s="8"/>
      <c r="I616" s="8"/>
      <c r="J616" s="8"/>
    </row>
    <row r="617">
      <c r="A617" s="8"/>
      <c r="B617" s="8" t="str">
        <f>IF(ISBLANK(A617),"",VLOOKUP(A617,DOI_URL!$B$1:$C$74,2,FALSE()))</f>
        <v/>
      </c>
      <c r="C617" s="8"/>
      <c r="D617" s="8"/>
      <c r="I617" s="8"/>
      <c r="J617" s="8"/>
    </row>
    <row r="618">
      <c r="A618" s="8"/>
      <c r="B618" s="8" t="str">
        <f>IF(ISBLANK(A618),"",VLOOKUP(A618,DOI_URL!$B$1:$C$74,2,FALSE()))</f>
        <v/>
      </c>
      <c r="C618" s="8"/>
      <c r="D618" s="8"/>
      <c r="I618" s="8"/>
      <c r="J618" s="8"/>
    </row>
    <row r="619">
      <c r="A619" s="8"/>
      <c r="B619" s="8" t="str">
        <f>IF(ISBLANK(A619),"",VLOOKUP(A619,DOI_URL!$B$1:$C$74,2,FALSE()))</f>
        <v/>
      </c>
      <c r="C619" s="8"/>
      <c r="D619" s="8"/>
      <c r="I619" s="8"/>
      <c r="J619" s="8"/>
    </row>
    <row r="620">
      <c r="A620" s="8"/>
      <c r="B620" s="8" t="str">
        <f>IF(ISBLANK(A620),"",VLOOKUP(A620,DOI_URL!$B$1:$C$74,2,FALSE()))</f>
        <v/>
      </c>
      <c r="C620" s="8"/>
      <c r="D620" s="8"/>
      <c r="I620" s="8"/>
      <c r="J620" s="8"/>
    </row>
    <row r="621">
      <c r="A621" s="8"/>
      <c r="B621" s="8" t="str">
        <f>IF(ISBLANK(A621),"",VLOOKUP(A621,DOI_URL!$B$1:$C$74,2,FALSE()))</f>
        <v/>
      </c>
      <c r="C621" s="8"/>
      <c r="D621" s="8"/>
      <c r="I621" s="8"/>
      <c r="J621" s="8"/>
    </row>
    <row r="622">
      <c r="A622" s="8"/>
      <c r="B622" s="8" t="str">
        <f>IF(ISBLANK(A622),"",VLOOKUP(A622,DOI_URL!$B$1:$C$74,2,FALSE()))</f>
        <v/>
      </c>
      <c r="C622" s="8"/>
      <c r="D622" s="8"/>
      <c r="I622" s="8"/>
      <c r="J622" s="8"/>
    </row>
    <row r="623">
      <c r="A623" s="8"/>
      <c r="B623" s="8" t="str">
        <f>IF(ISBLANK(A623),"",VLOOKUP(A623,DOI_URL!$B$1:$C$74,2,FALSE()))</f>
        <v/>
      </c>
      <c r="C623" s="8"/>
      <c r="D623" s="8"/>
      <c r="I623" s="8"/>
      <c r="J623" s="8"/>
    </row>
    <row r="624">
      <c r="A624" s="8"/>
      <c r="B624" s="8" t="str">
        <f>IF(ISBLANK(A624),"",VLOOKUP(A624,DOI_URL!$B$1:$C$74,2,FALSE()))</f>
        <v/>
      </c>
      <c r="C624" s="8"/>
      <c r="D624" s="8"/>
      <c r="I624" s="8"/>
      <c r="J624" s="8"/>
    </row>
    <row r="625">
      <c r="A625" s="8"/>
      <c r="B625" s="8" t="str">
        <f>IF(ISBLANK(A625),"",VLOOKUP(A625,DOI_URL!$B$1:$C$74,2,FALSE()))</f>
        <v/>
      </c>
      <c r="C625" s="8"/>
      <c r="D625" s="8"/>
      <c r="I625" s="8"/>
      <c r="J625" s="8"/>
    </row>
    <row r="626">
      <c r="A626" s="8"/>
      <c r="B626" s="8" t="str">
        <f>IF(ISBLANK(A626),"",VLOOKUP(A626,DOI_URL!$B$1:$C$74,2,FALSE()))</f>
        <v/>
      </c>
      <c r="C626" s="8"/>
      <c r="D626" s="8"/>
      <c r="I626" s="8"/>
      <c r="J626" s="8"/>
    </row>
    <row r="627">
      <c r="A627" s="8"/>
      <c r="B627" s="8" t="str">
        <f>IF(ISBLANK(A627),"",VLOOKUP(A627,DOI_URL!$B$1:$C$74,2,FALSE()))</f>
        <v/>
      </c>
      <c r="C627" s="8"/>
      <c r="D627" s="8"/>
      <c r="I627" s="8"/>
      <c r="J627" s="8"/>
    </row>
    <row r="628">
      <c r="A628" s="8"/>
      <c r="B628" s="8" t="str">
        <f>IF(ISBLANK(A628),"",VLOOKUP(A628,DOI_URL!$B$1:$C$74,2,FALSE()))</f>
        <v/>
      </c>
      <c r="C628" s="8"/>
      <c r="D628" s="8"/>
      <c r="I628" s="8"/>
      <c r="J628" s="8"/>
    </row>
    <row r="629">
      <c r="A629" s="8"/>
      <c r="B629" s="8" t="str">
        <f>IF(ISBLANK(A629),"",VLOOKUP(A629,DOI_URL!$B$1:$C$74,2,FALSE()))</f>
        <v/>
      </c>
      <c r="C629" s="8"/>
      <c r="D629" s="8"/>
      <c r="I629" s="8"/>
      <c r="J629" s="8"/>
    </row>
    <row r="630">
      <c r="A630" s="8"/>
      <c r="B630" s="8" t="str">
        <f>IF(ISBLANK(A630),"",VLOOKUP(A630,DOI_URL!$B$1:$C$74,2,FALSE()))</f>
        <v/>
      </c>
      <c r="C630" s="8"/>
      <c r="D630" s="8"/>
      <c r="I630" s="8"/>
      <c r="J630" s="8"/>
    </row>
    <row r="631">
      <c r="A631" s="8"/>
      <c r="B631" s="8" t="str">
        <f>IF(ISBLANK(A631),"",VLOOKUP(A631,DOI_URL!$B$1:$C$74,2,FALSE()))</f>
        <v/>
      </c>
      <c r="C631" s="8"/>
      <c r="D631" s="8"/>
      <c r="I631" s="8"/>
      <c r="J631" s="8"/>
    </row>
    <row r="632">
      <c r="A632" s="8"/>
      <c r="B632" s="8" t="str">
        <f>IF(ISBLANK(A632),"",VLOOKUP(A632,DOI_URL!$B$1:$C$74,2,FALSE()))</f>
        <v/>
      </c>
      <c r="C632" s="8"/>
      <c r="D632" s="8"/>
      <c r="I632" s="8"/>
      <c r="J632" s="8"/>
    </row>
    <row r="633">
      <c r="A633" s="8"/>
      <c r="B633" s="8" t="str">
        <f>IF(ISBLANK(A633),"",VLOOKUP(A633,DOI_URL!$B$1:$C$74,2,FALSE()))</f>
        <v/>
      </c>
      <c r="C633" s="8"/>
      <c r="D633" s="8"/>
      <c r="I633" s="8"/>
      <c r="J633" s="8"/>
    </row>
    <row r="634">
      <c r="A634" s="8"/>
      <c r="B634" s="8" t="str">
        <f>IF(ISBLANK(A634),"",VLOOKUP(A634,DOI_URL!$B$1:$C$74,2,FALSE()))</f>
        <v/>
      </c>
      <c r="C634" s="8"/>
      <c r="D634" s="8"/>
      <c r="I634" s="8"/>
      <c r="J634" s="8"/>
    </row>
    <row r="635">
      <c r="A635" s="8"/>
      <c r="B635" s="8" t="str">
        <f>IF(ISBLANK(A635),"",VLOOKUP(A635,DOI_URL!$B$1:$C$74,2,FALSE()))</f>
        <v/>
      </c>
      <c r="C635" s="8"/>
      <c r="D635" s="8"/>
      <c r="I635" s="8"/>
      <c r="J635" s="8"/>
    </row>
    <row r="636">
      <c r="A636" s="8"/>
      <c r="B636" s="8" t="str">
        <f>IF(ISBLANK(A636),"",VLOOKUP(A636,DOI_URL!$B$1:$C$74,2,FALSE()))</f>
        <v/>
      </c>
      <c r="C636" s="8"/>
      <c r="D636" s="8"/>
      <c r="I636" s="8"/>
      <c r="J636" s="8"/>
    </row>
    <row r="637">
      <c r="A637" s="8"/>
      <c r="B637" s="8" t="str">
        <f>IF(ISBLANK(A637),"",VLOOKUP(A637,DOI_URL!$B$1:$C$74,2,FALSE()))</f>
        <v/>
      </c>
      <c r="C637" s="8"/>
      <c r="D637" s="8"/>
      <c r="I637" s="8"/>
      <c r="J637" s="8"/>
    </row>
    <row r="638">
      <c r="A638" s="8"/>
      <c r="B638" s="8" t="str">
        <f>IF(ISBLANK(A638),"",VLOOKUP(A638,DOI_URL!$B$1:$C$74,2,FALSE()))</f>
        <v/>
      </c>
      <c r="C638" s="8"/>
      <c r="D638" s="8"/>
      <c r="I638" s="8"/>
      <c r="J638" s="8"/>
    </row>
    <row r="639">
      <c r="A639" s="8"/>
      <c r="B639" s="8" t="str">
        <f>IF(ISBLANK(A639),"",VLOOKUP(A639,DOI_URL!$B$1:$C$74,2,FALSE()))</f>
        <v/>
      </c>
      <c r="C639" s="8"/>
      <c r="D639" s="8"/>
      <c r="I639" s="8"/>
      <c r="J639" s="8"/>
    </row>
    <row r="640">
      <c r="A640" s="8"/>
      <c r="B640" s="8" t="str">
        <f>IF(ISBLANK(A640),"",VLOOKUP(A640,DOI_URL!$B$1:$C$74,2,FALSE()))</f>
        <v/>
      </c>
      <c r="C640" s="8"/>
      <c r="D640" s="8"/>
      <c r="I640" s="8"/>
      <c r="J640" s="8"/>
    </row>
    <row r="641">
      <c r="A641" s="8"/>
      <c r="B641" s="8" t="str">
        <f>IF(ISBLANK(A641),"",VLOOKUP(A641,DOI_URL!$B$1:$C$74,2,FALSE()))</f>
        <v/>
      </c>
      <c r="C641" s="8"/>
      <c r="D641" s="8"/>
      <c r="I641" s="8"/>
      <c r="J641" s="8"/>
    </row>
    <row r="642">
      <c r="A642" s="8"/>
      <c r="B642" s="8" t="str">
        <f>IF(ISBLANK(A642),"",VLOOKUP(A642,DOI_URL!$B$1:$C$74,2,FALSE()))</f>
        <v/>
      </c>
      <c r="C642" s="8"/>
      <c r="D642" s="8"/>
      <c r="I642" s="8"/>
      <c r="J642" s="8"/>
    </row>
    <row r="643">
      <c r="A643" s="8"/>
      <c r="B643" s="8" t="str">
        <f>IF(ISBLANK(A643),"",VLOOKUP(A643,DOI_URL!$B$1:$C$74,2,FALSE()))</f>
        <v/>
      </c>
      <c r="C643" s="8"/>
      <c r="D643" s="8"/>
      <c r="I643" s="8"/>
      <c r="J643" s="8"/>
    </row>
    <row r="644">
      <c r="A644" s="8"/>
      <c r="B644" s="8" t="str">
        <f>IF(ISBLANK(A644),"",VLOOKUP(A644,DOI_URL!$B$1:$C$74,2,FALSE()))</f>
        <v/>
      </c>
      <c r="C644" s="8"/>
      <c r="D644" s="8"/>
      <c r="I644" s="8"/>
      <c r="J644" s="8"/>
    </row>
    <row r="645">
      <c r="A645" s="8"/>
      <c r="B645" s="8" t="str">
        <f>IF(ISBLANK(A645),"",VLOOKUP(A645,DOI_URL!$B$1:$C$74,2,FALSE()))</f>
        <v/>
      </c>
      <c r="C645" s="8"/>
      <c r="D645" s="8"/>
      <c r="I645" s="8"/>
      <c r="J645" s="8"/>
    </row>
    <row r="646">
      <c r="A646" s="8"/>
      <c r="B646" s="8" t="str">
        <f>IF(ISBLANK(A646),"",VLOOKUP(A646,DOI_URL!$B$1:$C$74,2,FALSE()))</f>
        <v/>
      </c>
      <c r="C646" s="8"/>
      <c r="D646" s="8"/>
      <c r="I646" s="8"/>
      <c r="J646" s="8"/>
    </row>
    <row r="647">
      <c r="A647" s="8"/>
      <c r="B647" s="8" t="str">
        <f>IF(ISBLANK(A647),"",VLOOKUP(A647,DOI_URL!$B$1:$C$74,2,FALSE()))</f>
        <v/>
      </c>
      <c r="C647" s="8"/>
      <c r="D647" s="8"/>
      <c r="I647" s="8"/>
      <c r="J647" s="8"/>
    </row>
    <row r="648">
      <c r="A648" s="8"/>
      <c r="B648" s="8" t="str">
        <f>IF(ISBLANK(A648),"",VLOOKUP(A648,DOI_URL!$B$1:$C$74,2,FALSE()))</f>
        <v/>
      </c>
      <c r="C648" s="8"/>
      <c r="D648" s="8"/>
      <c r="I648" s="8"/>
      <c r="J648" s="8"/>
    </row>
    <row r="649">
      <c r="A649" s="8"/>
      <c r="B649" s="8" t="str">
        <f>IF(ISBLANK(A649),"",VLOOKUP(A649,DOI_URL!$B$1:$C$74,2,FALSE()))</f>
        <v/>
      </c>
      <c r="C649" s="8"/>
      <c r="D649" s="8"/>
      <c r="I649" s="8"/>
      <c r="J649" s="8"/>
    </row>
    <row r="650">
      <c r="A650" s="8"/>
      <c r="B650" s="8" t="str">
        <f>IF(ISBLANK(A650),"",VLOOKUP(A650,DOI_URL!$B$1:$C$74,2,FALSE()))</f>
        <v/>
      </c>
      <c r="C650" s="8"/>
      <c r="D650" s="8"/>
      <c r="I650" s="8"/>
      <c r="J650" s="8"/>
    </row>
    <row r="651">
      <c r="A651" s="8"/>
      <c r="B651" s="8" t="str">
        <f>IF(ISBLANK(A651),"",VLOOKUP(A651,DOI_URL!$B$1:$C$74,2,FALSE()))</f>
        <v/>
      </c>
      <c r="C651" s="8"/>
      <c r="D651" s="8"/>
      <c r="I651" s="8"/>
      <c r="J651" s="8"/>
    </row>
    <row r="652">
      <c r="A652" s="8"/>
      <c r="B652" s="8" t="str">
        <f>IF(ISBLANK(A652),"",VLOOKUP(A652,DOI_URL!$B$1:$C$74,2,FALSE()))</f>
        <v/>
      </c>
      <c r="C652" s="8"/>
      <c r="D652" s="8"/>
      <c r="I652" s="8"/>
      <c r="J652" s="8"/>
    </row>
    <row r="653">
      <c r="A653" s="8"/>
      <c r="B653" s="8" t="str">
        <f>IF(ISBLANK(A653),"",VLOOKUP(A653,DOI_URL!$B$1:$C$74,2,FALSE()))</f>
        <v/>
      </c>
      <c r="C653" s="8"/>
      <c r="D653" s="8"/>
      <c r="I653" s="8"/>
      <c r="J653" s="8"/>
    </row>
    <row r="654">
      <c r="A654" s="8"/>
      <c r="B654" s="8" t="str">
        <f>IF(ISBLANK(A654),"",VLOOKUP(A654,DOI_URL!$B$1:$C$74,2,FALSE()))</f>
        <v/>
      </c>
      <c r="C654" s="8"/>
      <c r="D654" s="8"/>
      <c r="I654" s="8"/>
      <c r="J654" s="8"/>
    </row>
    <row r="655">
      <c r="A655" s="8"/>
      <c r="B655" s="8" t="str">
        <f>IF(ISBLANK(A655),"",VLOOKUP(A655,DOI_URL!$B$1:$C$74,2,FALSE()))</f>
        <v/>
      </c>
      <c r="C655" s="8"/>
      <c r="D655" s="8"/>
      <c r="I655" s="8"/>
      <c r="J655" s="8"/>
    </row>
    <row r="656">
      <c r="A656" s="8"/>
      <c r="B656" s="8" t="str">
        <f>IF(ISBLANK(A656),"",VLOOKUP(A656,DOI_URL!$B$1:$C$74,2,FALSE()))</f>
        <v/>
      </c>
      <c r="C656" s="8"/>
      <c r="D656" s="8"/>
      <c r="I656" s="8"/>
      <c r="J656" s="8"/>
    </row>
    <row r="657">
      <c r="A657" s="8"/>
      <c r="B657" s="8" t="str">
        <f>IF(ISBLANK(A657),"",VLOOKUP(A657,DOI_URL!$B$1:$C$74,2,FALSE()))</f>
        <v/>
      </c>
      <c r="C657" s="8"/>
      <c r="D657" s="8"/>
      <c r="I657" s="8"/>
      <c r="J657" s="8"/>
    </row>
    <row r="658">
      <c r="A658" s="8"/>
      <c r="B658" s="8" t="str">
        <f>IF(ISBLANK(A658),"",VLOOKUP(A658,DOI_URL!$B$1:$C$74,2,FALSE()))</f>
        <v/>
      </c>
      <c r="C658" s="8"/>
      <c r="D658" s="8"/>
      <c r="I658" s="8"/>
      <c r="J658" s="8"/>
    </row>
    <row r="659">
      <c r="A659" s="8"/>
      <c r="B659" s="8" t="str">
        <f>IF(ISBLANK(A659),"",VLOOKUP(A659,DOI_URL!$B$1:$C$74,2,FALSE()))</f>
        <v/>
      </c>
      <c r="C659" s="8"/>
      <c r="D659" s="8"/>
      <c r="I659" s="8"/>
      <c r="J659" s="8"/>
    </row>
    <row r="660">
      <c r="A660" s="8"/>
      <c r="B660" s="8" t="str">
        <f>IF(ISBLANK(A660),"",VLOOKUP(A660,DOI_URL!$B$1:$C$74,2,FALSE()))</f>
        <v/>
      </c>
      <c r="C660" s="8"/>
      <c r="D660" s="8"/>
      <c r="I660" s="8"/>
      <c r="J660" s="8"/>
    </row>
    <row r="661">
      <c r="A661" s="8"/>
      <c r="B661" s="8" t="str">
        <f>IF(ISBLANK(A661),"",VLOOKUP(A661,DOI_URL!$B$1:$C$74,2,FALSE()))</f>
        <v/>
      </c>
      <c r="C661" s="8"/>
      <c r="D661" s="8"/>
      <c r="I661" s="8"/>
      <c r="J661" s="8"/>
    </row>
    <row r="662">
      <c r="A662" s="8"/>
      <c r="B662" s="8" t="str">
        <f>IF(ISBLANK(A662),"",VLOOKUP(A662,DOI_URL!$B$1:$C$74,2,FALSE()))</f>
        <v/>
      </c>
      <c r="C662" s="8"/>
      <c r="D662" s="8"/>
      <c r="I662" s="8"/>
      <c r="J662" s="8"/>
    </row>
    <row r="663">
      <c r="A663" s="8"/>
      <c r="B663" s="8" t="str">
        <f>IF(ISBLANK(A663),"",VLOOKUP(A663,DOI_URL!$B$1:$C$74,2,FALSE()))</f>
        <v/>
      </c>
      <c r="C663" s="8"/>
      <c r="D663" s="8"/>
      <c r="I663" s="8"/>
      <c r="J663" s="8"/>
    </row>
    <row r="664">
      <c r="A664" s="8"/>
      <c r="B664" s="8" t="str">
        <f>IF(ISBLANK(A664),"",VLOOKUP(A664,DOI_URL!$B$1:$C$74,2,FALSE()))</f>
        <v/>
      </c>
      <c r="C664" s="8"/>
      <c r="D664" s="8"/>
      <c r="I664" s="8"/>
      <c r="J664" s="8"/>
    </row>
    <row r="665">
      <c r="A665" s="8"/>
      <c r="B665" s="8" t="str">
        <f>IF(ISBLANK(A665),"",VLOOKUP(A665,DOI_URL!$B$1:$C$74,2,FALSE()))</f>
        <v/>
      </c>
      <c r="C665" s="8"/>
      <c r="D665" s="8"/>
      <c r="I665" s="8"/>
      <c r="J665" s="8"/>
    </row>
    <row r="666">
      <c r="A666" s="8"/>
      <c r="B666" s="8" t="str">
        <f>IF(ISBLANK(A666),"",VLOOKUP(A666,DOI_URL!$B$1:$C$74,2,FALSE()))</f>
        <v/>
      </c>
      <c r="C666" s="8"/>
      <c r="D666" s="8"/>
      <c r="I666" s="8"/>
      <c r="J666" s="8"/>
    </row>
    <row r="667">
      <c r="A667" s="8"/>
      <c r="B667" s="8" t="str">
        <f>IF(ISBLANK(A667),"",VLOOKUP(A667,DOI_URL!$B$1:$C$74,2,FALSE()))</f>
        <v/>
      </c>
      <c r="C667" s="8"/>
      <c r="D667" s="8"/>
      <c r="I667" s="8"/>
      <c r="J667" s="8"/>
    </row>
    <row r="668">
      <c r="A668" s="8"/>
      <c r="B668" s="8" t="str">
        <f>IF(ISBLANK(A668),"",VLOOKUP(A668,DOI_URL!$B$1:$C$74,2,FALSE()))</f>
        <v/>
      </c>
      <c r="C668" s="8"/>
      <c r="D668" s="8"/>
      <c r="I668" s="8"/>
      <c r="J668" s="8"/>
    </row>
    <row r="669">
      <c r="A669" s="8"/>
      <c r="B669" s="8" t="str">
        <f>IF(ISBLANK(A669),"",VLOOKUP(A669,DOI_URL!$B$1:$C$74,2,FALSE()))</f>
        <v/>
      </c>
      <c r="C669" s="8"/>
      <c r="D669" s="8"/>
      <c r="I669" s="8"/>
      <c r="J669" s="8"/>
    </row>
    <row r="670">
      <c r="A670" s="8"/>
      <c r="B670" s="8" t="str">
        <f>IF(ISBLANK(A670),"",VLOOKUP(A670,DOI_URL!$B$1:$C$74,2,FALSE()))</f>
        <v/>
      </c>
      <c r="C670" s="8"/>
      <c r="D670" s="8"/>
      <c r="I670" s="8"/>
      <c r="J670" s="8"/>
    </row>
    <row r="671">
      <c r="A671" s="8"/>
      <c r="B671" s="8" t="str">
        <f>IF(ISBLANK(A671),"",VLOOKUP(A671,DOI_URL!$B$1:$C$74,2,FALSE()))</f>
        <v/>
      </c>
      <c r="C671" s="8"/>
      <c r="D671" s="8"/>
      <c r="I671" s="8"/>
      <c r="J671" s="8"/>
    </row>
    <row r="672">
      <c r="A672" s="8"/>
      <c r="B672" s="8" t="str">
        <f>IF(ISBLANK(A672),"",VLOOKUP(A672,DOI_URL!$B$1:$C$74,2,FALSE()))</f>
        <v/>
      </c>
      <c r="C672" s="8"/>
      <c r="D672" s="8"/>
      <c r="I672" s="8"/>
      <c r="J672" s="8"/>
    </row>
    <row r="673">
      <c r="A673" s="8"/>
      <c r="B673" s="8" t="str">
        <f>IF(ISBLANK(A673),"",VLOOKUP(A673,DOI_URL!$B$1:$C$74,2,FALSE()))</f>
        <v/>
      </c>
      <c r="C673" s="8"/>
      <c r="D673" s="8"/>
      <c r="I673" s="8"/>
      <c r="J673" s="8"/>
    </row>
    <row r="674">
      <c r="A674" s="8"/>
      <c r="B674" s="8" t="str">
        <f>IF(ISBLANK(A674),"",VLOOKUP(A674,DOI_URL!$B$1:$C$74,2,FALSE()))</f>
        <v/>
      </c>
      <c r="C674" s="8"/>
      <c r="D674" s="8"/>
      <c r="I674" s="8"/>
      <c r="J674" s="8"/>
    </row>
    <row r="675">
      <c r="A675" s="8"/>
      <c r="B675" s="8" t="str">
        <f>IF(ISBLANK(A675),"",VLOOKUP(A675,DOI_URL!$B$1:$C$74,2,FALSE()))</f>
        <v/>
      </c>
      <c r="C675" s="8"/>
      <c r="D675" s="8"/>
      <c r="I675" s="8"/>
      <c r="J675" s="8"/>
    </row>
    <row r="676">
      <c r="A676" s="8"/>
      <c r="B676" s="8" t="str">
        <f>IF(ISBLANK(A676),"",VLOOKUP(A676,DOI_URL!$B$1:$C$74,2,FALSE()))</f>
        <v/>
      </c>
      <c r="C676" s="8"/>
      <c r="D676" s="8"/>
      <c r="I676" s="8"/>
      <c r="J676" s="8"/>
    </row>
    <row r="677">
      <c r="A677" s="8"/>
      <c r="B677" s="8" t="str">
        <f>IF(ISBLANK(A677),"",VLOOKUP(A677,DOI_URL!$B$1:$C$74,2,FALSE()))</f>
        <v/>
      </c>
      <c r="C677" s="8"/>
      <c r="D677" s="8"/>
      <c r="I677" s="8"/>
      <c r="J677" s="8"/>
    </row>
    <row r="678">
      <c r="A678" s="8"/>
      <c r="B678" s="8" t="str">
        <f>IF(ISBLANK(A678),"",VLOOKUP(A678,DOI_URL!$B$1:$C$74,2,FALSE()))</f>
        <v/>
      </c>
      <c r="C678" s="8"/>
      <c r="D678" s="8"/>
      <c r="I678" s="8"/>
      <c r="J678" s="8"/>
    </row>
    <row r="679">
      <c r="A679" s="8"/>
      <c r="B679" s="8" t="str">
        <f>IF(ISBLANK(A679),"",VLOOKUP(A679,DOI_URL!$B$1:$C$74,2,FALSE()))</f>
        <v/>
      </c>
      <c r="C679" s="8"/>
      <c r="D679" s="8"/>
      <c r="I679" s="8"/>
      <c r="J679" s="8"/>
    </row>
    <row r="680">
      <c r="A680" s="8"/>
      <c r="B680" s="8" t="str">
        <f>IF(ISBLANK(A680),"",VLOOKUP(A680,DOI_URL!$B$1:$C$74,2,FALSE()))</f>
        <v/>
      </c>
      <c r="C680" s="8"/>
      <c r="D680" s="8"/>
      <c r="I680" s="8"/>
      <c r="J680" s="8"/>
    </row>
    <row r="681">
      <c r="A681" s="8"/>
      <c r="B681" s="8" t="str">
        <f>IF(ISBLANK(A681),"",VLOOKUP(A681,DOI_URL!$B$1:$C$74,2,FALSE()))</f>
        <v/>
      </c>
      <c r="C681" s="8"/>
      <c r="D681" s="8"/>
      <c r="I681" s="8"/>
      <c r="J681" s="8"/>
    </row>
    <row r="682">
      <c r="A682" s="8"/>
      <c r="B682" s="8" t="str">
        <f>IF(ISBLANK(A682),"",VLOOKUP(A682,DOI_URL!$B$1:$C$74,2,FALSE()))</f>
        <v/>
      </c>
      <c r="C682" s="8"/>
      <c r="D682" s="8"/>
      <c r="I682" s="8"/>
      <c r="J682" s="8"/>
    </row>
    <row r="683">
      <c r="A683" s="8"/>
      <c r="B683" s="8" t="str">
        <f>IF(ISBLANK(A683),"",VLOOKUP(A683,DOI_URL!$B$1:$C$74,2,FALSE()))</f>
        <v/>
      </c>
      <c r="C683" s="8"/>
      <c r="D683" s="8"/>
      <c r="I683" s="8"/>
      <c r="J683" s="8"/>
    </row>
    <row r="684">
      <c r="A684" s="8"/>
      <c r="B684" s="8" t="str">
        <f>IF(ISBLANK(A684),"",VLOOKUP(A684,DOI_URL!$B$1:$C$74,2,FALSE()))</f>
        <v/>
      </c>
      <c r="C684" s="8"/>
      <c r="D684" s="8"/>
      <c r="I684" s="8"/>
      <c r="J684" s="8"/>
    </row>
    <row r="685">
      <c r="A685" s="8"/>
      <c r="B685" s="8" t="str">
        <f>IF(ISBLANK(A685),"",VLOOKUP(A685,DOI_URL!$B$1:$C$74,2,FALSE()))</f>
        <v/>
      </c>
      <c r="C685" s="8"/>
      <c r="D685" s="8"/>
      <c r="I685" s="8"/>
      <c r="J685" s="8"/>
    </row>
    <row r="686">
      <c r="A686" s="8"/>
      <c r="B686" s="8" t="str">
        <f>IF(ISBLANK(A686),"",VLOOKUP(A686,DOI_URL!$B$1:$C$74,2,FALSE()))</f>
        <v/>
      </c>
      <c r="C686" s="8"/>
      <c r="D686" s="8"/>
      <c r="I686" s="8"/>
      <c r="J686" s="8"/>
    </row>
    <row r="687">
      <c r="A687" s="8"/>
      <c r="B687" s="8" t="str">
        <f>IF(ISBLANK(A687),"",VLOOKUP(A687,DOI_URL!$B$1:$C$74,2,FALSE()))</f>
        <v/>
      </c>
      <c r="C687" s="8"/>
      <c r="D687" s="8"/>
      <c r="I687" s="8"/>
      <c r="J687" s="8"/>
    </row>
    <row r="688">
      <c r="A688" s="8"/>
      <c r="B688" s="8" t="str">
        <f>IF(ISBLANK(A688),"",VLOOKUP(A688,DOI_URL!$B$1:$C$74,2,FALSE()))</f>
        <v/>
      </c>
      <c r="C688" s="8"/>
      <c r="D688" s="8"/>
      <c r="I688" s="8"/>
      <c r="J688" s="8"/>
    </row>
    <row r="689">
      <c r="A689" s="8"/>
      <c r="B689" s="8" t="str">
        <f>IF(ISBLANK(A689),"",VLOOKUP(A689,DOI_URL!$B$1:$C$74,2,FALSE()))</f>
        <v/>
      </c>
      <c r="C689" s="8"/>
      <c r="D689" s="8"/>
      <c r="I689" s="8"/>
      <c r="J689" s="8"/>
    </row>
    <row r="690">
      <c r="A690" s="8"/>
      <c r="B690" s="8" t="str">
        <f>IF(ISBLANK(A690),"",VLOOKUP(A690,DOI_URL!$B$1:$C$74,2,FALSE()))</f>
        <v/>
      </c>
      <c r="C690" s="8"/>
      <c r="D690" s="8"/>
      <c r="I690" s="8"/>
      <c r="J690" s="8"/>
    </row>
    <row r="691">
      <c r="A691" s="8"/>
      <c r="B691" s="8" t="str">
        <f>IF(ISBLANK(A691),"",VLOOKUP(A691,DOI_URL!$B$1:$C$74,2,FALSE()))</f>
        <v/>
      </c>
      <c r="C691" s="8"/>
      <c r="D691" s="8"/>
      <c r="I691" s="8"/>
      <c r="J691" s="8"/>
    </row>
    <row r="692">
      <c r="A692" s="8"/>
      <c r="B692" s="8" t="str">
        <f>IF(ISBLANK(A692),"",VLOOKUP(A692,DOI_URL!$B$1:$C$74,2,FALSE()))</f>
        <v/>
      </c>
      <c r="C692" s="8"/>
      <c r="D692" s="8"/>
      <c r="I692" s="8"/>
      <c r="J692" s="8"/>
    </row>
    <row r="693">
      <c r="A693" s="8"/>
      <c r="B693" s="8" t="str">
        <f>IF(ISBLANK(A693),"",VLOOKUP(A693,DOI_URL!$B$1:$C$74,2,FALSE()))</f>
        <v/>
      </c>
      <c r="C693" s="8"/>
      <c r="D693" s="8"/>
      <c r="I693" s="8"/>
      <c r="J693" s="8"/>
    </row>
    <row r="694">
      <c r="A694" s="8"/>
      <c r="B694" s="8" t="str">
        <f>IF(ISBLANK(A694),"",VLOOKUP(A694,DOI_URL!$B$1:$C$74,2,FALSE()))</f>
        <v/>
      </c>
      <c r="C694" s="8"/>
      <c r="D694" s="8"/>
      <c r="I694" s="8"/>
      <c r="J694" s="8"/>
    </row>
    <row r="695">
      <c r="A695" s="8"/>
      <c r="B695" s="8" t="str">
        <f>IF(ISBLANK(A695),"",VLOOKUP(A695,DOI_URL!$B$1:$C$74,2,FALSE()))</f>
        <v/>
      </c>
      <c r="C695" s="8"/>
      <c r="D695" s="8"/>
      <c r="I695" s="8"/>
      <c r="J695" s="8"/>
    </row>
    <row r="696">
      <c r="A696" s="8"/>
      <c r="B696" s="8" t="str">
        <f>IF(ISBLANK(A696),"",VLOOKUP(A696,DOI_URL!$B$1:$C$74,2,FALSE()))</f>
        <v/>
      </c>
      <c r="C696" s="8"/>
      <c r="D696" s="8"/>
      <c r="I696" s="8"/>
      <c r="J696" s="8"/>
    </row>
    <row r="697">
      <c r="A697" s="8"/>
      <c r="B697" s="8" t="str">
        <f>IF(ISBLANK(A697),"",VLOOKUP(A697,DOI_URL!$B$1:$C$74,2,FALSE()))</f>
        <v/>
      </c>
      <c r="C697" s="8"/>
      <c r="D697" s="8"/>
      <c r="I697" s="8"/>
      <c r="J697" s="8"/>
    </row>
    <row r="698">
      <c r="A698" s="8"/>
      <c r="B698" s="8" t="str">
        <f>IF(ISBLANK(A698),"",VLOOKUP(A698,DOI_URL!$B$1:$C$74,2,FALSE()))</f>
        <v/>
      </c>
      <c r="C698" s="8"/>
      <c r="D698" s="8"/>
      <c r="I698" s="8"/>
      <c r="J698" s="8"/>
    </row>
    <row r="699">
      <c r="A699" s="8"/>
      <c r="B699" s="8" t="str">
        <f>IF(ISBLANK(A699),"",VLOOKUP(A699,DOI_URL!$B$1:$C$74,2,FALSE()))</f>
        <v/>
      </c>
      <c r="C699" s="8"/>
      <c r="D699" s="8"/>
      <c r="I699" s="8"/>
      <c r="J699" s="8"/>
    </row>
    <row r="700">
      <c r="A700" s="8"/>
      <c r="B700" s="8" t="str">
        <f>IF(ISBLANK(A700),"",VLOOKUP(A700,DOI_URL!$B$1:$C$74,2,FALSE()))</f>
        <v/>
      </c>
      <c r="C700" s="8"/>
      <c r="D700" s="8"/>
      <c r="I700" s="8"/>
      <c r="J700" s="8"/>
    </row>
    <row r="701">
      <c r="A701" s="8"/>
      <c r="B701" s="8" t="str">
        <f>IF(ISBLANK(A701),"",VLOOKUP(A701,DOI_URL!$B$1:$C$74,2,FALSE()))</f>
        <v/>
      </c>
      <c r="C701" s="8"/>
      <c r="D701" s="8"/>
      <c r="I701" s="8"/>
      <c r="J701" s="8"/>
    </row>
    <row r="702">
      <c r="A702" s="8"/>
      <c r="B702" s="8" t="str">
        <f>IF(ISBLANK(A702),"",VLOOKUP(A702,DOI_URL!$B$1:$C$74,2,FALSE()))</f>
        <v/>
      </c>
      <c r="C702" s="8"/>
      <c r="D702" s="8"/>
      <c r="I702" s="8"/>
      <c r="J702" s="8"/>
    </row>
    <row r="703">
      <c r="A703" s="8"/>
      <c r="B703" s="8" t="str">
        <f>IF(ISBLANK(A703),"",VLOOKUP(A703,DOI_URL!$B$1:$C$74,2,FALSE()))</f>
        <v/>
      </c>
      <c r="C703" s="8"/>
      <c r="D703" s="8"/>
      <c r="I703" s="8"/>
      <c r="J703" s="8"/>
    </row>
    <row r="704">
      <c r="A704" s="8"/>
      <c r="B704" s="8" t="str">
        <f>IF(ISBLANK(A704),"",VLOOKUP(A704,DOI_URL!$B$1:$C$74,2,FALSE()))</f>
        <v/>
      </c>
      <c r="C704" s="8"/>
      <c r="D704" s="8"/>
      <c r="I704" s="8"/>
      <c r="J704" s="8"/>
    </row>
    <row r="705">
      <c r="A705" s="8"/>
      <c r="B705" s="8" t="str">
        <f>IF(ISBLANK(A705),"",VLOOKUP(A705,DOI_URL!$B$1:$C$74,2,FALSE()))</f>
        <v/>
      </c>
      <c r="C705" s="8"/>
      <c r="D705" s="8"/>
      <c r="I705" s="8"/>
      <c r="J705" s="8"/>
    </row>
    <row r="706">
      <c r="A706" s="8"/>
      <c r="B706" s="8" t="str">
        <f>IF(ISBLANK(A706),"",VLOOKUP(A706,DOI_URL!$B$1:$C$74,2,FALSE()))</f>
        <v/>
      </c>
      <c r="C706" s="8"/>
      <c r="D706" s="8"/>
      <c r="I706" s="8"/>
      <c r="J706" s="8"/>
    </row>
    <row r="707">
      <c r="A707" s="8"/>
      <c r="B707" s="8" t="str">
        <f>IF(ISBLANK(A707),"",VLOOKUP(A707,DOI_URL!$B$1:$C$74,2,FALSE()))</f>
        <v/>
      </c>
      <c r="C707" s="8"/>
      <c r="D707" s="8"/>
      <c r="I707" s="8"/>
      <c r="J707" s="8"/>
    </row>
    <row r="708">
      <c r="A708" s="8"/>
      <c r="B708" s="8" t="str">
        <f>IF(ISBLANK(A708),"",VLOOKUP(A708,DOI_URL!$B$1:$C$74,2,FALSE()))</f>
        <v/>
      </c>
      <c r="C708" s="8"/>
      <c r="D708" s="8"/>
      <c r="I708" s="8"/>
      <c r="J708" s="8"/>
    </row>
    <row r="709">
      <c r="A709" s="8"/>
      <c r="B709" s="8" t="str">
        <f>IF(ISBLANK(A709),"",VLOOKUP(A709,DOI_URL!$B$1:$C$74,2,FALSE()))</f>
        <v/>
      </c>
      <c r="C709" s="8"/>
      <c r="D709" s="8"/>
      <c r="I709" s="8"/>
      <c r="J709" s="8"/>
    </row>
    <row r="710">
      <c r="A710" s="8"/>
      <c r="B710" s="8" t="str">
        <f>IF(ISBLANK(A710),"",VLOOKUP(A710,DOI_URL!$B$1:$C$74,2,FALSE()))</f>
        <v/>
      </c>
      <c r="C710" s="8"/>
      <c r="D710" s="8"/>
      <c r="I710" s="8"/>
      <c r="J710" s="8"/>
    </row>
    <row r="711">
      <c r="A711" s="8"/>
      <c r="B711" s="8" t="str">
        <f>IF(ISBLANK(A711),"",VLOOKUP(A711,DOI_URL!$B$1:$C$74,2,FALSE()))</f>
        <v/>
      </c>
      <c r="C711" s="8"/>
      <c r="D711" s="8"/>
      <c r="I711" s="8"/>
      <c r="J711" s="8"/>
    </row>
    <row r="712">
      <c r="A712" s="8"/>
      <c r="B712" s="8" t="str">
        <f>IF(ISBLANK(A712),"",VLOOKUP(A712,DOI_URL!$B$1:$C$74,2,FALSE()))</f>
        <v/>
      </c>
      <c r="C712" s="8"/>
      <c r="D712" s="8"/>
      <c r="I712" s="8"/>
      <c r="J712" s="8"/>
    </row>
    <row r="713">
      <c r="A713" s="8"/>
      <c r="B713" s="8" t="str">
        <f>IF(ISBLANK(A713),"",VLOOKUP(A713,DOI_URL!$B$1:$C$74,2,FALSE()))</f>
        <v/>
      </c>
      <c r="C713" s="8"/>
      <c r="D713" s="8"/>
      <c r="I713" s="8"/>
      <c r="J713" s="8"/>
    </row>
    <row r="714">
      <c r="A714" s="8"/>
      <c r="B714" s="8" t="str">
        <f>IF(ISBLANK(A714),"",VLOOKUP(A714,DOI_URL!$B$1:$C$74,2,FALSE()))</f>
        <v/>
      </c>
      <c r="C714" s="8"/>
      <c r="D714" s="8"/>
      <c r="I714" s="8"/>
      <c r="J714" s="8"/>
    </row>
    <row r="715">
      <c r="A715" s="8"/>
      <c r="B715" s="8" t="str">
        <f>IF(ISBLANK(A715),"",VLOOKUP(A715,DOI_URL!$B$1:$C$74,2,FALSE()))</f>
        <v/>
      </c>
      <c r="C715" s="8"/>
      <c r="D715" s="8"/>
      <c r="I715" s="8"/>
      <c r="J715" s="8"/>
    </row>
    <row r="716">
      <c r="A716" s="8"/>
      <c r="B716" s="8" t="str">
        <f>IF(ISBLANK(A716),"",VLOOKUP(A716,DOI_URL!$B$1:$C$74,2,FALSE()))</f>
        <v/>
      </c>
      <c r="C716" s="8"/>
      <c r="D716" s="8"/>
      <c r="I716" s="8"/>
      <c r="J716" s="8"/>
    </row>
    <row r="717">
      <c r="A717" s="8"/>
      <c r="B717" s="8" t="str">
        <f>IF(ISBLANK(A717),"",VLOOKUP(A717,DOI_URL!$B$1:$C$74,2,FALSE()))</f>
        <v/>
      </c>
      <c r="C717" s="8"/>
      <c r="D717" s="8"/>
      <c r="I717" s="8"/>
      <c r="J717" s="8"/>
    </row>
    <row r="718">
      <c r="A718" s="8"/>
      <c r="B718" s="8" t="str">
        <f>IF(ISBLANK(A718),"",VLOOKUP(A718,DOI_URL!$B$1:$C$74,2,FALSE()))</f>
        <v/>
      </c>
      <c r="C718" s="8"/>
      <c r="D718" s="8"/>
      <c r="I718" s="8"/>
      <c r="J718" s="8"/>
    </row>
    <row r="719">
      <c r="A719" s="8"/>
      <c r="B719" s="8" t="str">
        <f>IF(ISBLANK(A719),"",VLOOKUP(A719,DOI_URL!$B$1:$C$74,2,FALSE()))</f>
        <v/>
      </c>
      <c r="C719" s="8"/>
      <c r="D719" s="8"/>
      <c r="I719" s="8"/>
      <c r="J719" s="8"/>
    </row>
    <row r="720">
      <c r="A720" s="8"/>
      <c r="B720" s="8" t="str">
        <f>IF(ISBLANK(A720),"",VLOOKUP(A720,DOI_URL!$B$1:$C$74,2,FALSE()))</f>
        <v/>
      </c>
      <c r="C720" s="8"/>
      <c r="D720" s="8"/>
      <c r="I720" s="8"/>
      <c r="J720" s="8"/>
    </row>
    <row r="721">
      <c r="A721" s="8"/>
      <c r="B721" s="8" t="str">
        <f>IF(ISBLANK(A721),"",VLOOKUP(A721,DOI_URL!$B$1:$C$74,2,FALSE()))</f>
        <v/>
      </c>
      <c r="C721" s="8"/>
      <c r="D721" s="8"/>
      <c r="I721" s="8"/>
      <c r="J721" s="8"/>
    </row>
    <row r="722">
      <c r="A722" s="8"/>
      <c r="B722" s="8" t="str">
        <f>IF(ISBLANK(A722),"",VLOOKUP(A722,DOI_URL!$B$1:$C$74,2,FALSE()))</f>
        <v/>
      </c>
      <c r="C722" s="8"/>
      <c r="D722" s="8"/>
      <c r="I722" s="8"/>
      <c r="J722" s="8"/>
    </row>
    <row r="723">
      <c r="A723" s="8"/>
      <c r="B723" s="8" t="str">
        <f>IF(ISBLANK(A723),"",VLOOKUP(A723,DOI_URL!$B$1:$C$74,2,FALSE()))</f>
        <v/>
      </c>
      <c r="C723" s="8"/>
      <c r="D723" s="8"/>
      <c r="I723" s="8"/>
      <c r="J723" s="8"/>
    </row>
    <row r="724">
      <c r="A724" s="8"/>
      <c r="B724" s="8" t="str">
        <f>IF(ISBLANK(A724),"",VLOOKUP(A724,DOI_URL!$B$1:$C$74,2,FALSE()))</f>
        <v/>
      </c>
      <c r="C724" s="8"/>
      <c r="D724" s="8"/>
      <c r="I724" s="8"/>
      <c r="J724" s="8"/>
    </row>
    <row r="725">
      <c r="A725" s="8"/>
      <c r="B725" s="8" t="str">
        <f>IF(ISBLANK(A725),"",VLOOKUP(A725,DOI_URL!$B$1:$C$74,2,FALSE()))</f>
        <v/>
      </c>
      <c r="C725" s="8"/>
      <c r="D725" s="8"/>
      <c r="I725" s="8"/>
      <c r="J725" s="8"/>
    </row>
    <row r="726">
      <c r="A726" s="8"/>
      <c r="B726" s="8" t="str">
        <f>IF(ISBLANK(A726),"",VLOOKUP(A726,DOI_URL!$B$1:$C$74,2,FALSE()))</f>
        <v/>
      </c>
      <c r="C726" s="8"/>
      <c r="D726" s="8"/>
      <c r="I726" s="8"/>
      <c r="J726" s="8"/>
    </row>
    <row r="727">
      <c r="A727" s="8"/>
      <c r="B727" s="8" t="str">
        <f>IF(ISBLANK(A727),"",VLOOKUP(A727,DOI_URL!$B$1:$C$74,2,FALSE()))</f>
        <v/>
      </c>
      <c r="C727" s="8"/>
      <c r="D727" s="8"/>
      <c r="I727" s="8"/>
      <c r="J727" s="8"/>
    </row>
    <row r="728">
      <c r="A728" s="8"/>
      <c r="B728" s="8" t="str">
        <f>IF(ISBLANK(A728),"",VLOOKUP(A728,DOI_URL!$B$1:$C$74,2,FALSE()))</f>
        <v/>
      </c>
      <c r="C728" s="8"/>
      <c r="D728" s="8"/>
      <c r="I728" s="8"/>
      <c r="J728" s="8"/>
    </row>
    <row r="729">
      <c r="A729" s="8"/>
      <c r="B729" s="8" t="str">
        <f>IF(ISBLANK(A729),"",VLOOKUP(A729,DOI_URL!$B$1:$C$74,2,FALSE()))</f>
        <v/>
      </c>
      <c r="C729" s="8"/>
      <c r="D729" s="8"/>
      <c r="I729" s="8"/>
      <c r="J729" s="8"/>
    </row>
    <row r="730">
      <c r="A730" s="8"/>
      <c r="B730" s="8" t="str">
        <f>IF(ISBLANK(A730),"",VLOOKUP(A730,DOI_URL!$B$1:$C$74,2,FALSE()))</f>
        <v/>
      </c>
      <c r="C730" s="8"/>
      <c r="D730" s="8"/>
      <c r="I730" s="8"/>
      <c r="J730" s="8"/>
    </row>
    <row r="731">
      <c r="A731" s="8"/>
      <c r="B731" s="8" t="str">
        <f>IF(ISBLANK(A731),"",VLOOKUP(A731,DOI_URL!$B$1:$C$74,2,FALSE()))</f>
        <v/>
      </c>
      <c r="C731" s="8"/>
      <c r="D731" s="8"/>
      <c r="I731" s="8"/>
      <c r="J731" s="8"/>
    </row>
    <row r="732">
      <c r="A732" s="8"/>
      <c r="B732" s="8" t="str">
        <f>IF(ISBLANK(A732),"",VLOOKUP(A732,DOI_URL!$B$1:$C$74,2,FALSE()))</f>
        <v/>
      </c>
      <c r="C732" s="8"/>
      <c r="D732" s="8"/>
      <c r="I732" s="8"/>
      <c r="J732" s="8"/>
    </row>
    <row r="733">
      <c r="A733" s="8"/>
      <c r="B733" s="8" t="str">
        <f>IF(ISBLANK(A733),"",VLOOKUP(A733,DOI_URL!$B$1:$C$74,2,FALSE()))</f>
        <v/>
      </c>
      <c r="C733" s="8"/>
      <c r="D733" s="8"/>
      <c r="I733" s="8"/>
      <c r="J733" s="8"/>
    </row>
    <row r="734">
      <c r="A734" s="8"/>
      <c r="B734" s="8" t="str">
        <f>IF(ISBLANK(A734),"",VLOOKUP(A734,DOI_URL!$B$1:$C$74,2,FALSE()))</f>
        <v/>
      </c>
      <c r="C734" s="8"/>
      <c r="D734" s="8"/>
      <c r="I734" s="8"/>
      <c r="J734" s="8"/>
    </row>
    <row r="735">
      <c r="A735" s="8"/>
      <c r="B735" s="8" t="str">
        <f>IF(ISBLANK(A735),"",VLOOKUP(A735,DOI_URL!$B$1:$C$74,2,FALSE()))</f>
        <v/>
      </c>
      <c r="C735" s="8"/>
      <c r="D735" s="8"/>
      <c r="I735" s="8"/>
      <c r="J735" s="8"/>
    </row>
    <row r="736">
      <c r="A736" s="8"/>
      <c r="B736" s="8" t="str">
        <f>IF(ISBLANK(A736),"",VLOOKUP(A736,DOI_URL!$B$1:$C$74,2,FALSE()))</f>
        <v/>
      </c>
      <c r="C736" s="8"/>
      <c r="D736" s="8"/>
      <c r="I736" s="8"/>
      <c r="J736" s="8"/>
    </row>
    <row r="737">
      <c r="A737" s="8"/>
      <c r="B737" s="8" t="str">
        <f>IF(ISBLANK(A737),"",VLOOKUP(A737,DOI_URL!$B$1:$C$74,2,FALSE()))</f>
        <v/>
      </c>
      <c r="C737" s="8"/>
      <c r="D737" s="8"/>
      <c r="I737" s="8"/>
      <c r="J737" s="8"/>
    </row>
    <row r="738">
      <c r="A738" s="8"/>
      <c r="B738" s="8" t="str">
        <f>IF(ISBLANK(A738),"",VLOOKUP(A738,DOI_URL!$B$1:$C$74,2,FALSE()))</f>
        <v/>
      </c>
      <c r="C738" s="8"/>
      <c r="D738" s="8"/>
      <c r="I738" s="8"/>
      <c r="J738" s="8"/>
    </row>
    <row r="739">
      <c r="A739" s="8"/>
      <c r="B739" s="8" t="str">
        <f>IF(ISBLANK(A739),"",VLOOKUP(A739,DOI_URL!$B$1:$C$74,2,FALSE()))</f>
        <v/>
      </c>
      <c r="C739" s="8"/>
      <c r="D739" s="8"/>
      <c r="I739" s="8"/>
      <c r="J739" s="8"/>
    </row>
    <row r="740">
      <c r="A740" s="8"/>
      <c r="B740" s="8" t="str">
        <f>IF(ISBLANK(A740),"",VLOOKUP(A740,DOI_URL!$B$1:$C$74,2,FALSE()))</f>
        <v/>
      </c>
      <c r="C740" s="8"/>
      <c r="D740" s="8"/>
      <c r="I740" s="8"/>
      <c r="J740" s="8"/>
    </row>
    <row r="741">
      <c r="A741" s="8"/>
      <c r="B741" s="8" t="str">
        <f>IF(ISBLANK(A741),"",VLOOKUP(A741,DOI_URL!$B$1:$C$74,2,FALSE()))</f>
        <v/>
      </c>
      <c r="C741" s="8"/>
      <c r="D741" s="8"/>
      <c r="I741" s="8"/>
      <c r="J741" s="8"/>
    </row>
    <row r="742">
      <c r="A742" s="8"/>
      <c r="B742" s="8" t="str">
        <f>IF(ISBLANK(A742),"",VLOOKUP(A742,DOI_URL!$B$1:$C$74,2,FALSE()))</f>
        <v/>
      </c>
      <c r="C742" s="8"/>
      <c r="D742" s="8"/>
      <c r="I742" s="8"/>
      <c r="J742" s="8"/>
    </row>
    <row r="743">
      <c r="A743" s="8"/>
      <c r="B743" s="8" t="str">
        <f>IF(ISBLANK(A743),"",VLOOKUP(A743,DOI_URL!$B$1:$C$74,2,FALSE()))</f>
        <v/>
      </c>
      <c r="C743" s="8"/>
      <c r="D743" s="8"/>
      <c r="I743" s="8"/>
      <c r="J743" s="8"/>
    </row>
    <row r="744">
      <c r="A744" s="8"/>
      <c r="B744" s="8" t="str">
        <f>IF(ISBLANK(A744),"",VLOOKUP(A744,DOI_URL!$B$1:$C$74,2,FALSE()))</f>
        <v/>
      </c>
      <c r="C744" s="8"/>
      <c r="D744" s="8"/>
      <c r="I744" s="8"/>
      <c r="J744" s="8"/>
    </row>
    <row r="745">
      <c r="A745" s="8"/>
      <c r="B745" s="8" t="str">
        <f>IF(ISBLANK(A745),"",VLOOKUP(A745,DOI_URL!$B$1:$C$74,2,FALSE()))</f>
        <v/>
      </c>
      <c r="C745" s="8"/>
      <c r="D745" s="8"/>
      <c r="I745" s="8"/>
      <c r="J745" s="8"/>
    </row>
    <row r="746">
      <c r="A746" s="8"/>
      <c r="B746" s="8" t="str">
        <f>IF(ISBLANK(A746),"",VLOOKUP(A746,DOI_URL!$B$1:$C$74,2,FALSE()))</f>
        <v/>
      </c>
      <c r="C746" s="8"/>
      <c r="D746" s="8"/>
      <c r="I746" s="8"/>
      <c r="J746" s="8"/>
    </row>
    <row r="747">
      <c r="A747" s="8"/>
      <c r="B747" s="8" t="str">
        <f>IF(ISBLANK(A747),"",VLOOKUP(A747,DOI_URL!$B$1:$C$74,2,FALSE()))</f>
        <v/>
      </c>
      <c r="C747" s="8"/>
      <c r="D747" s="8"/>
      <c r="I747" s="8"/>
      <c r="J747" s="8"/>
    </row>
    <row r="748">
      <c r="A748" s="8"/>
      <c r="B748" s="8" t="str">
        <f>IF(ISBLANK(A748),"",VLOOKUP(A748,DOI_URL!$B$1:$C$74,2,FALSE()))</f>
        <v/>
      </c>
      <c r="C748" s="8"/>
      <c r="D748" s="8"/>
      <c r="I748" s="8"/>
      <c r="J748" s="8"/>
    </row>
    <row r="749">
      <c r="A749" s="8"/>
      <c r="B749" s="8" t="str">
        <f>IF(ISBLANK(A749),"",VLOOKUP(A749,DOI_URL!$B$1:$C$74,2,FALSE()))</f>
        <v/>
      </c>
      <c r="C749" s="8"/>
      <c r="D749" s="8"/>
      <c r="I749" s="8"/>
      <c r="J749" s="8"/>
    </row>
    <row r="750">
      <c r="A750" s="8"/>
      <c r="B750" s="8" t="str">
        <f>IF(ISBLANK(A750),"",VLOOKUP(A750,DOI_URL!$B$1:$C$74,2,FALSE()))</f>
        <v/>
      </c>
      <c r="C750" s="8"/>
      <c r="D750" s="8"/>
      <c r="I750" s="8"/>
      <c r="J750" s="8"/>
    </row>
    <row r="751">
      <c r="A751" s="8"/>
      <c r="B751" s="8" t="str">
        <f>IF(ISBLANK(A751),"",VLOOKUP(A751,DOI_URL!$B$1:$C$74,2,FALSE()))</f>
        <v/>
      </c>
      <c r="C751" s="8"/>
      <c r="D751" s="8"/>
      <c r="I751" s="8"/>
      <c r="J751" s="8"/>
    </row>
    <row r="752">
      <c r="A752" s="8"/>
      <c r="B752" s="8" t="str">
        <f>IF(ISBLANK(A752),"",VLOOKUP(A752,DOI_URL!$B$1:$C$74,2,FALSE()))</f>
        <v/>
      </c>
      <c r="C752" s="8"/>
      <c r="D752" s="8"/>
      <c r="I752" s="8"/>
      <c r="J752" s="8"/>
    </row>
    <row r="753">
      <c r="A753" s="8"/>
      <c r="B753" s="8" t="str">
        <f>IF(ISBLANK(A753),"",VLOOKUP(A753,DOI_URL!$B$1:$C$74,2,FALSE()))</f>
        <v/>
      </c>
      <c r="C753" s="8"/>
      <c r="D753" s="8"/>
      <c r="I753" s="8"/>
      <c r="J753" s="8"/>
    </row>
    <row r="754">
      <c r="A754" s="8"/>
      <c r="B754" s="8" t="str">
        <f>IF(ISBLANK(A754),"",VLOOKUP(A754,DOI_URL!$B$1:$C$74,2,FALSE()))</f>
        <v/>
      </c>
      <c r="C754" s="8"/>
      <c r="D754" s="8"/>
      <c r="I754" s="8"/>
      <c r="J754" s="8"/>
    </row>
    <row r="755">
      <c r="A755" s="8"/>
      <c r="B755" s="8" t="str">
        <f>IF(ISBLANK(A755),"",VLOOKUP(A755,DOI_URL!$B$1:$C$74,2,FALSE()))</f>
        <v/>
      </c>
      <c r="C755" s="8"/>
      <c r="D755" s="8"/>
      <c r="I755" s="8"/>
      <c r="J755" s="8"/>
    </row>
    <row r="756">
      <c r="A756" s="8"/>
      <c r="B756" s="8" t="str">
        <f>IF(ISBLANK(A756),"",VLOOKUP(A756,DOI_URL!$B$1:$C$74,2,FALSE()))</f>
        <v/>
      </c>
      <c r="C756" s="8"/>
      <c r="D756" s="8"/>
      <c r="I756" s="8"/>
      <c r="J756" s="8"/>
    </row>
    <row r="757">
      <c r="A757" s="8"/>
      <c r="B757" s="8" t="str">
        <f>IF(ISBLANK(A757),"",VLOOKUP(A757,DOI_URL!$B$1:$C$74,2,FALSE()))</f>
        <v/>
      </c>
      <c r="C757" s="8"/>
      <c r="D757" s="8"/>
      <c r="I757" s="8"/>
      <c r="J757" s="8"/>
    </row>
    <row r="758">
      <c r="A758" s="8"/>
      <c r="B758" s="8" t="str">
        <f>IF(ISBLANK(A758),"",VLOOKUP(A758,DOI_URL!$B$1:$C$74,2,FALSE()))</f>
        <v/>
      </c>
      <c r="C758" s="8"/>
      <c r="D758" s="8"/>
      <c r="I758" s="8"/>
      <c r="J758" s="8"/>
    </row>
    <row r="759">
      <c r="A759" s="8"/>
      <c r="B759" s="8" t="str">
        <f>IF(ISBLANK(A759),"",VLOOKUP(A759,DOI_URL!$B$1:$C$74,2,FALSE()))</f>
        <v/>
      </c>
      <c r="C759" s="8"/>
      <c r="D759" s="8"/>
      <c r="I759" s="8"/>
      <c r="J759" s="8"/>
    </row>
    <row r="760">
      <c r="A760" s="8"/>
      <c r="B760" s="8" t="str">
        <f>IF(ISBLANK(A760),"",VLOOKUP(A760,DOI_URL!$B$1:$C$74,2,FALSE()))</f>
        <v/>
      </c>
      <c r="C760" s="8"/>
      <c r="D760" s="8"/>
      <c r="I760" s="8"/>
      <c r="J760" s="8"/>
    </row>
    <row r="761">
      <c r="A761" s="8"/>
      <c r="B761" s="8" t="str">
        <f>IF(ISBLANK(A761),"",VLOOKUP(A761,DOI_URL!$B$1:$C$74,2,FALSE()))</f>
        <v/>
      </c>
      <c r="C761" s="8"/>
      <c r="D761" s="8"/>
      <c r="I761" s="8"/>
      <c r="J761" s="8"/>
    </row>
    <row r="762">
      <c r="A762" s="8"/>
      <c r="B762" s="8" t="str">
        <f>IF(ISBLANK(A762),"",VLOOKUP(A762,DOI_URL!$B$1:$C$74,2,FALSE()))</f>
        <v/>
      </c>
      <c r="C762" s="8"/>
      <c r="D762" s="8"/>
      <c r="I762" s="8"/>
      <c r="J762" s="8"/>
    </row>
    <row r="763">
      <c r="A763" s="8"/>
      <c r="B763" s="8" t="str">
        <f>IF(ISBLANK(A763),"",VLOOKUP(A763,DOI_URL!$B$1:$C$74,2,FALSE()))</f>
        <v/>
      </c>
      <c r="C763" s="8"/>
      <c r="D763" s="8"/>
      <c r="I763" s="8"/>
      <c r="J763" s="8"/>
    </row>
    <row r="764">
      <c r="A764" s="8"/>
      <c r="B764" s="8" t="str">
        <f>IF(ISBLANK(A764),"",VLOOKUP(A764,DOI_URL!$B$1:$C$74,2,FALSE()))</f>
        <v/>
      </c>
      <c r="C764" s="8"/>
      <c r="D764" s="8"/>
      <c r="I764" s="8"/>
      <c r="J764" s="8"/>
    </row>
    <row r="765">
      <c r="A765" s="8"/>
      <c r="B765" s="8" t="str">
        <f>IF(ISBLANK(A765),"",VLOOKUP(A765,DOI_URL!$B$1:$C$74,2,FALSE()))</f>
        <v/>
      </c>
      <c r="C765" s="8"/>
      <c r="D765" s="8"/>
      <c r="I765" s="8"/>
      <c r="J765" s="8"/>
    </row>
    <row r="766">
      <c r="A766" s="8"/>
      <c r="B766" s="8" t="str">
        <f>IF(ISBLANK(A766),"",VLOOKUP(A766,DOI_URL!$B$1:$C$74,2,FALSE()))</f>
        <v/>
      </c>
      <c r="C766" s="8"/>
      <c r="D766" s="8"/>
      <c r="I766" s="8"/>
      <c r="J766" s="8"/>
    </row>
    <row r="767">
      <c r="A767" s="8"/>
      <c r="B767" s="8" t="str">
        <f>IF(ISBLANK(A767),"",VLOOKUP(A767,DOI_URL!$B$1:$C$74,2,FALSE()))</f>
        <v/>
      </c>
      <c r="C767" s="8"/>
      <c r="D767" s="8"/>
      <c r="I767" s="8"/>
      <c r="J767" s="8"/>
    </row>
    <row r="768">
      <c r="A768" s="8"/>
      <c r="B768" s="8" t="str">
        <f>IF(ISBLANK(A768),"",VLOOKUP(A768,DOI_URL!$B$1:$C$74,2,FALSE()))</f>
        <v/>
      </c>
      <c r="C768" s="8"/>
      <c r="D768" s="8"/>
      <c r="I768" s="8"/>
      <c r="J768" s="8"/>
    </row>
    <row r="769">
      <c r="A769" s="8"/>
      <c r="B769" s="8" t="str">
        <f>IF(ISBLANK(A769),"",VLOOKUP(A769,DOI_URL!$B$1:$C$74,2,FALSE()))</f>
        <v/>
      </c>
      <c r="C769" s="8"/>
      <c r="D769" s="8"/>
      <c r="I769" s="8"/>
      <c r="J769" s="8"/>
    </row>
    <row r="770">
      <c r="A770" s="8"/>
      <c r="B770" s="8" t="str">
        <f>IF(ISBLANK(A770),"",VLOOKUP(A770,DOI_URL!$B$1:$C$74,2,FALSE()))</f>
        <v/>
      </c>
      <c r="C770" s="8"/>
      <c r="D770" s="8"/>
      <c r="I770" s="8"/>
      <c r="J770" s="8"/>
    </row>
    <row r="771">
      <c r="A771" s="8"/>
      <c r="B771" s="8" t="str">
        <f>IF(ISBLANK(A771),"",VLOOKUP(A771,DOI_URL!$B$1:$C$74,2,FALSE()))</f>
        <v/>
      </c>
      <c r="C771" s="8"/>
      <c r="D771" s="8"/>
      <c r="I771" s="8"/>
      <c r="J771" s="8"/>
    </row>
    <row r="772">
      <c r="A772" s="8"/>
      <c r="B772" s="8" t="str">
        <f>IF(ISBLANK(A772),"",VLOOKUP(A772,DOI_URL!$B$1:$C$74,2,FALSE()))</f>
        <v/>
      </c>
      <c r="C772" s="8"/>
      <c r="D772" s="8"/>
      <c r="I772" s="8"/>
      <c r="J772" s="8"/>
    </row>
    <row r="773">
      <c r="A773" s="8"/>
      <c r="B773" s="8" t="str">
        <f>IF(ISBLANK(A773),"",VLOOKUP(A773,DOI_URL!$B$1:$C$74,2,FALSE()))</f>
        <v/>
      </c>
      <c r="C773" s="8"/>
      <c r="D773" s="8"/>
      <c r="I773" s="8"/>
      <c r="J773" s="8"/>
    </row>
    <row r="774">
      <c r="A774" s="8"/>
      <c r="B774" s="8" t="str">
        <f>IF(ISBLANK(A774),"",VLOOKUP(A774,DOI_URL!$B$1:$C$74,2,FALSE()))</f>
        <v/>
      </c>
      <c r="C774" s="8"/>
      <c r="D774" s="8"/>
      <c r="I774" s="8"/>
      <c r="J774" s="8"/>
    </row>
    <row r="775">
      <c r="A775" s="8"/>
      <c r="B775" s="8" t="str">
        <f>IF(ISBLANK(A775),"",VLOOKUP(A775,DOI_URL!$B$1:$C$74,2,FALSE()))</f>
        <v/>
      </c>
      <c r="C775" s="8"/>
      <c r="D775" s="8"/>
      <c r="I775" s="8"/>
      <c r="J775" s="8"/>
    </row>
    <row r="776">
      <c r="A776" s="8"/>
      <c r="B776" s="8" t="str">
        <f>IF(ISBLANK(A776),"",VLOOKUP(A776,DOI_URL!$B$1:$C$74,2,FALSE()))</f>
        <v/>
      </c>
      <c r="C776" s="8"/>
      <c r="D776" s="8"/>
      <c r="I776" s="8"/>
      <c r="J776" s="8"/>
    </row>
    <row r="777">
      <c r="A777" s="8"/>
      <c r="B777" s="8" t="str">
        <f>IF(ISBLANK(A777),"",VLOOKUP(A777,DOI_URL!$B$1:$C$74,2,FALSE()))</f>
        <v/>
      </c>
      <c r="C777" s="8"/>
      <c r="D777" s="8"/>
      <c r="I777" s="8"/>
      <c r="J777" s="8"/>
    </row>
    <row r="778">
      <c r="A778" s="8"/>
      <c r="B778" s="8" t="str">
        <f>IF(ISBLANK(A778),"",VLOOKUP(A778,DOI_URL!$B$1:$C$74,2,FALSE()))</f>
        <v/>
      </c>
      <c r="C778" s="8"/>
      <c r="D778" s="8"/>
      <c r="I778" s="8"/>
      <c r="J778" s="8"/>
    </row>
    <row r="779">
      <c r="A779" s="8"/>
      <c r="B779" s="8" t="str">
        <f>IF(ISBLANK(A779),"",VLOOKUP(A779,DOI_URL!$B$1:$C$74,2,FALSE()))</f>
        <v/>
      </c>
      <c r="C779" s="8"/>
      <c r="D779" s="8"/>
      <c r="I779" s="8"/>
      <c r="J779" s="8"/>
    </row>
    <row r="780">
      <c r="A780" s="8"/>
      <c r="B780" s="8" t="str">
        <f>IF(ISBLANK(A780),"",VLOOKUP(A780,DOI_URL!$B$1:$C$74,2,FALSE()))</f>
        <v/>
      </c>
      <c r="C780" s="8"/>
      <c r="D780" s="8"/>
      <c r="I780" s="8"/>
      <c r="J780" s="8"/>
    </row>
    <row r="781">
      <c r="A781" s="8"/>
      <c r="B781" s="8" t="str">
        <f>IF(ISBLANK(A781),"",VLOOKUP(A781,DOI_URL!$B$1:$C$74,2,FALSE()))</f>
        <v/>
      </c>
      <c r="C781" s="8"/>
      <c r="D781" s="8"/>
      <c r="I781" s="8"/>
      <c r="J781" s="8"/>
    </row>
    <row r="782">
      <c r="A782" s="8"/>
      <c r="B782" s="8" t="str">
        <f>IF(ISBLANK(A782),"",VLOOKUP(A782,DOI_URL!$B$1:$C$74,2,FALSE()))</f>
        <v/>
      </c>
      <c r="C782" s="8"/>
      <c r="D782" s="8"/>
      <c r="I782" s="8"/>
      <c r="J782" s="8"/>
    </row>
    <row r="783">
      <c r="A783" s="8"/>
      <c r="B783" s="8" t="str">
        <f>IF(ISBLANK(A783),"",VLOOKUP(A783,DOI_URL!$B$1:$C$74,2,FALSE()))</f>
        <v/>
      </c>
      <c r="C783" s="8"/>
      <c r="D783" s="8"/>
      <c r="I783" s="8"/>
      <c r="J783" s="8"/>
    </row>
    <row r="784">
      <c r="A784" s="8"/>
      <c r="B784" s="8" t="str">
        <f>IF(ISBLANK(A784),"",VLOOKUP(A784,DOI_URL!$B$1:$C$74,2,FALSE()))</f>
        <v/>
      </c>
      <c r="C784" s="8"/>
      <c r="D784" s="8"/>
      <c r="I784" s="8"/>
      <c r="J784" s="8"/>
    </row>
    <row r="785">
      <c r="A785" s="8"/>
      <c r="B785" s="8" t="str">
        <f>IF(ISBLANK(A785),"",VLOOKUP(A785,DOI_URL!$B$1:$C$74,2,FALSE()))</f>
        <v/>
      </c>
      <c r="C785" s="8"/>
      <c r="D785" s="8"/>
      <c r="I785" s="8"/>
      <c r="J785" s="8"/>
    </row>
    <row r="786">
      <c r="A786" s="8"/>
      <c r="B786" s="8" t="str">
        <f>IF(ISBLANK(A786),"",VLOOKUP(A786,DOI_URL!$B$1:$C$74,2,FALSE()))</f>
        <v/>
      </c>
      <c r="C786" s="8"/>
      <c r="D786" s="8"/>
      <c r="I786" s="8"/>
      <c r="J786" s="8"/>
    </row>
    <row r="787">
      <c r="A787" s="8"/>
      <c r="B787" s="8" t="str">
        <f>IF(ISBLANK(A787),"",VLOOKUP(A787,DOI_URL!$B$1:$C$74,2,FALSE()))</f>
        <v/>
      </c>
      <c r="C787" s="8"/>
      <c r="D787" s="8"/>
      <c r="I787" s="8"/>
      <c r="J787" s="8"/>
    </row>
    <row r="788">
      <c r="A788" s="8"/>
      <c r="B788" s="8" t="str">
        <f>IF(ISBLANK(A788),"",VLOOKUP(A788,DOI_URL!$B$1:$C$74,2,FALSE()))</f>
        <v/>
      </c>
      <c r="C788" s="8"/>
      <c r="D788" s="8"/>
      <c r="I788" s="8"/>
      <c r="J788" s="8"/>
    </row>
    <row r="789">
      <c r="A789" s="8"/>
      <c r="B789" s="8" t="str">
        <f>IF(ISBLANK(A789),"",VLOOKUP(A789,DOI_URL!$B$1:$C$74,2,FALSE()))</f>
        <v/>
      </c>
      <c r="C789" s="8"/>
      <c r="D789" s="8"/>
      <c r="I789" s="8"/>
      <c r="J789" s="8"/>
    </row>
    <row r="790">
      <c r="A790" s="8"/>
      <c r="B790" s="8" t="str">
        <f>IF(ISBLANK(A790),"",VLOOKUP(A790,DOI_URL!$B$1:$C$74,2,FALSE()))</f>
        <v/>
      </c>
      <c r="C790" s="8"/>
      <c r="D790" s="8"/>
      <c r="I790" s="8"/>
      <c r="J790" s="8"/>
    </row>
    <row r="791">
      <c r="A791" s="8"/>
      <c r="B791" s="8" t="str">
        <f>IF(ISBLANK(A791),"",VLOOKUP(A791,DOI_URL!$B$1:$C$74,2,FALSE()))</f>
        <v/>
      </c>
      <c r="C791" s="8"/>
      <c r="D791" s="8"/>
      <c r="I791" s="8"/>
      <c r="J791" s="8"/>
    </row>
    <row r="792">
      <c r="A792" s="8"/>
      <c r="B792" s="8" t="str">
        <f>IF(ISBLANK(A792),"",VLOOKUP(A792,DOI_URL!$B$1:$C$74,2,FALSE()))</f>
        <v/>
      </c>
      <c r="C792" s="8"/>
      <c r="D792" s="8"/>
      <c r="I792" s="8"/>
      <c r="J792" s="8"/>
    </row>
    <row r="793">
      <c r="A793" s="8"/>
      <c r="B793" s="8" t="str">
        <f>IF(ISBLANK(A793),"",VLOOKUP(A793,DOI_URL!$B$1:$C$74,2,FALSE()))</f>
        <v/>
      </c>
      <c r="C793" s="8"/>
      <c r="D793" s="8"/>
      <c r="I793" s="8"/>
      <c r="J793" s="8"/>
    </row>
    <row r="794">
      <c r="A794" s="8"/>
      <c r="B794" s="8" t="str">
        <f>IF(ISBLANK(A794),"",VLOOKUP(A794,DOI_URL!$B$1:$C$74,2,FALSE()))</f>
        <v/>
      </c>
      <c r="C794" s="8"/>
      <c r="D794" s="8"/>
      <c r="I794" s="8"/>
      <c r="J794" s="8"/>
    </row>
    <row r="795">
      <c r="A795" s="8"/>
      <c r="B795" s="8" t="str">
        <f>IF(ISBLANK(A795),"",VLOOKUP(A795,DOI_URL!$B$1:$C$74,2,FALSE()))</f>
        <v/>
      </c>
      <c r="C795" s="8"/>
      <c r="D795" s="8"/>
      <c r="I795" s="8"/>
      <c r="J795" s="8"/>
    </row>
    <row r="796">
      <c r="A796" s="8"/>
      <c r="B796" s="8" t="str">
        <f>IF(ISBLANK(A796),"",VLOOKUP(A796,DOI_URL!$B$1:$C$74,2,FALSE()))</f>
        <v/>
      </c>
      <c r="C796" s="8"/>
      <c r="D796" s="8"/>
      <c r="I796" s="8"/>
      <c r="J796" s="8"/>
    </row>
    <row r="797">
      <c r="A797" s="8"/>
      <c r="B797" s="8" t="str">
        <f>IF(ISBLANK(A797),"",VLOOKUP(A797,DOI_URL!$B$1:$C$74,2,FALSE()))</f>
        <v/>
      </c>
      <c r="C797" s="8"/>
      <c r="D797" s="8"/>
      <c r="I797" s="8"/>
      <c r="J797" s="8"/>
    </row>
    <row r="798">
      <c r="A798" s="8"/>
      <c r="B798" s="8" t="str">
        <f>IF(ISBLANK(A798),"",VLOOKUP(A798,DOI_URL!$B$1:$C$74,2,FALSE()))</f>
        <v/>
      </c>
      <c r="C798" s="8"/>
      <c r="D798" s="8"/>
      <c r="I798" s="8"/>
      <c r="J798" s="8"/>
    </row>
    <row r="799">
      <c r="A799" s="8"/>
      <c r="B799" s="8" t="str">
        <f>IF(ISBLANK(A799),"",VLOOKUP(A799,DOI_URL!$B$1:$C$74,2,FALSE()))</f>
        <v/>
      </c>
      <c r="C799" s="8"/>
      <c r="D799" s="8"/>
      <c r="I799" s="8"/>
      <c r="J799" s="8"/>
    </row>
    <row r="800">
      <c r="A800" s="8"/>
      <c r="B800" s="8" t="str">
        <f>IF(ISBLANK(A800),"",VLOOKUP(A800,DOI_URL!$B$1:$C$74,2,FALSE()))</f>
        <v/>
      </c>
      <c r="C800" s="8"/>
      <c r="D800" s="8"/>
      <c r="I800" s="8"/>
      <c r="J800" s="8"/>
    </row>
    <row r="801">
      <c r="A801" s="8"/>
      <c r="B801" s="8" t="str">
        <f>IF(ISBLANK(A801),"",VLOOKUP(A801,DOI_URL!$B$1:$C$74,2,FALSE()))</f>
        <v/>
      </c>
      <c r="C801" s="8"/>
      <c r="D801" s="8"/>
      <c r="I801" s="8"/>
      <c r="J801" s="8"/>
    </row>
    <row r="802">
      <c r="A802" s="8"/>
      <c r="B802" s="8" t="str">
        <f>IF(ISBLANK(A802),"",VLOOKUP(A802,DOI_URL!$B$1:$C$74,2,FALSE()))</f>
        <v/>
      </c>
      <c r="C802" s="8"/>
      <c r="D802" s="8"/>
      <c r="I802" s="8"/>
      <c r="J802" s="8"/>
    </row>
    <row r="803">
      <c r="A803" s="8"/>
      <c r="B803" s="8" t="str">
        <f>IF(ISBLANK(A803),"",VLOOKUP(A803,DOI_URL!$B$1:$C$74,2,FALSE()))</f>
        <v/>
      </c>
      <c r="C803" s="8"/>
      <c r="D803" s="8"/>
      <c r="I803" s="8"/>
      <c r="J803" s="8"/>
    </row>
    <row r="804">
      <c r="A804" s="8"/>
      <c r="B804" s="8" t="str">
        <f>IF(ISBLANK(A804),"",VLOOKUP(A804,DOI_URL!$B$1:$C$74,2,FALSE()))</f>
        <v/>
      </c>
      <c r="C804" s="8"/>
      <c r="D804" s="8"/>
      <c r="I804" s="8"/>
      <c r="J804" s="8"/>
    </row>
    <row r="805">
      <c r="A805" s="8"/>
      <c r="B805" s="8" t="str">
        <f>IF(ISBLANK(A805),"",VLOOKUP(A805,DOI_URL!$B$1:$C$74,2,FALSE()))</f>
        <v/>
      </c>
      <c r="C805" s="8"/>
      <c r="D805" s="8"/>
      <c r="I805" s="8"/>
      <c r="J805" s="8"/>
    </row>
    <row r="806">
      <c r="A806" s="8"/>
      <c r="B806" s="8" t="str">
        <f>IF(ISBLANK(A806),"",VLOOKUP(A806,DOI_URL!$B$1:$C$74,2,FALSE()))</f>
        <v/>
      </c>
      <c r="C806" s="8"/>
      <c r="D806" s="8"/>
      <c r="I806" s="8"/>
      <c r="J806" s="8"/>
    </row>
    <row r="807">
      <c r="A807" s="8"/>
      <c r="B807" s="8" t="str">
        <f>IF(ISBLANK(A807),"",VLOOKUP(A807,DOI_URL!$B$1:$C$74,2,FALSE()))</f>
        <v/>
      </c>
      <c r="C807" s="8"/>
      <c r="D807" s="8"/>
      <c r="I807" s="8"/>
      <c r="J807" s="8"/>
    </row>
    <row r="808">
      <c r="A808" s="8"/>
      <c r="B808" s="8" t="str">
        <f>IF(ISBLANK(A808),"",VLOOKUP(A808,DOI_URL!$B$1:$C$74,2,FALSE()))</f>
        <v/>
      </c>
      <c r="C808" s="8"/>
      <c r="D808" s="8"/>
      <c r="I808" s="8"/>
      <c r="J808" s="8"/>
    </row>
    <row r="809">
      <c r="A809" s="8"/>
      <c r="B809" s="8" t="str">
        <f>IF(ISBLANK(A809),"",VLOOKUP(A809,DOI_URL!$B$1:$C$74,2,FALSE()))</f>
        <v/>
      </c>
      <c r="C809" s="8"/>
      <c r="D809" s="8"/>
      <c r="I809" s="8"/>
      <c r="J809" s="8"/>
    </row>
    <row r="810">
      <c r="A810" s="8"/>
      <c r="B810" s="8" t="str">
        <f>IF(ISBLANK(A810),"",VLOOKUP(A810,DOI_URL!$B$1:$C$74,2,FALSE()))</f>
        <v/>
      </c>
      <c r="C810" s="8"/>
      <c r="D810" s="8"/>
      <c r="I810" s="8"/>
      <c r="J810" s="8"/>
    </row>
    <row r="811">
      <c r="A811" s="8"/>
      <c r="B811" s="8" t="str">
        <f>IF(ISBLANK(A811),"",VLOOKUP(A811,DOI_URL!$B$1:$C$74,2,FALSE()))</f>
        <v/>
      </c>
      <c r="C811" s="8"/>
      <c r="D811" s="8"/>
      <c r="I811" s="8"/>
      <c r="J811" s="8"/>
    </row>
    <row r="812">
      <c r="A812" s="8"/>
      <c r="B812" s="8" t="str">
        <f>IF(ISBLANK(A812),"",VLOOKUP(A812,DOI_URL!$B$1:$C$74,2,FALSE()))</f>
        <v/>
      </c>
      <c r="C812" s="8"/>
      <c r="D812" s="8"/>
      <c r="I812" s="8"/>
      <c r="J812" s="8"/>
    </row>
    <row r="813">
      <c r="A813" s="8"/>
      <c r="B813" s="8" t="str">
        <f>IF(ISBLANK(A813),"",VLOOKUP(A813,DOI_URL!$B$1:$C$74,2,FALSE()))</f>
        <v/>
      </c>
      <c r="C813" s="8"/>
      <c r="D813" s="8"/>
      <c r="I813" s="8"/>
      <c r="J813" s="8"/>
    </row>
    <row r="814">
      <c r="A814" s="8"/>
      <c r="B814" s="8" t="str">
        <f>IF(ISBLANK(A814),"",VLOOKUP(A814,DOI_URL!$B$1:$C$74,2,FALSE()))</f>
        <v/>
      </c>
      <c r="C814" s="8"/>
      <c r="D814" s="8"/>
      <c r="I814" s="8"/>
      <c r="J814" s="8"/>
    </row>
    <row r="815">
      <c r="A815" s="8"/>
      <c r="B815" s="8" t="str">
        <f>IF(ISBLANK(A815),"",VLOOKUP(A815,DOI_URL!$B$1:$C$74,2,FALSE()))</f>
        <v/>
      </c>
      <c r="C815" s="8"/>
      <c r="D815" s="8"/>
      <c r="I815" s="8"/>
      <c r="J815" s="8"/>
    </row>
    <row r="816">
      <c r="A816" s="8"/>
      <c r="B816" s="8" t="str">
        <f>IF(ISBLANK(A816),"",VLOOKUP(A816,DOI_URL!$B$1:$C$74,2,FALSE()))</f>
        <v/>
      </c>
      <c r="C816" s="8"/>
      <c r="D816" s="8"/>
      <c r="I816" s="8"/>
      <c r="J816" s="8"/>
    </row>
    <row r="817">
      <c r="A817" s="8"/>
      <c r="B817" s="8" t="str">
        <f>IF(ISBLANK(A817),"",VLOOKUP(A817,DOI_URL!$B$1:$C$74,2,FALSE()))</f>
        <v/>
      </c>
      <c r="C817" s="8"/>
      <c r="D817" s="8"/>
      <c r="I817" s="8"/>
      <c r="J817" s="8"/>
    </row>
    <row r="818">
      <c r="A818" s="8"/>
      <c r="B818" s="8" t="str">
        <f>IF(ISBLANK(A818),"",VLOOKUP(A818,DOI_URL!$B$1:$C$74,2,FALSE()))</f>
        <v/>
      </c>
      <c r="C818" s="8"/>
      <c r="D818" s="8"/>
      <c r="I818" s="8"/>
      <c r="J818" s="8"/>
    </row>
    <row r="819">
      <c r="A819" s="8"/>
      <c r="B819" s="8" t="str">
        <f>IF(ISBLANK(A819),"",VLOOKUP(A819,DOI_URL!$B$1:$C$74,2,FALSE()))</f>
        <v/>
      </c>
      <c r="C819" s="8"/>
      <c r="D819" s="8"/>
      <c r="I819" s="8"/>
      <c r="J819" s="8"/>
    </row>
    <row r="820">
      <c r="A820" s="8"/>
      <c r="B820" s="8" t="str">
        <f>IF(ISBLANK(A820),"",VLOOKUP(A820,DOI_URL!$B$1:$C$74,2,FALSE()))</f>
        <v/>
      </c>
      <c r="C820" s="8"/>
      <c r="D820" s="8"/>
      <c r="I820" s="8"/>
      <c r="J820" s="8"/>
    </row>
    <row r="821">
      <c r="A821" s="8"/>
      <c r="B821" s="8" t="str">
        <f>IF(ISBLANK(A821),"",VLOOKUP(A821,DOI_URL!$B$1:$C$74,2,FALSE()))</f>
        <v/>
      </c>
      <c r="C821" s="8"/>
      <c r="D821" s="8"/>
      <c r="I821" s="8"/>
      <c r="J821" s="8"/>
    </row>
    <row r="822">
      <c r="A822" s="8"/>
      <c r="B822" s="8" t="str">
        <f>IF(ISBLANK(A822),"",VLOOKUP(A822,DOI_URL!$B$1:$C$74,2,FALSE()))</f>
        <v/>
      </c>
      <c r="C822" s="8"/>
      <c r="D822" s="8"/>
      <c r="I822" s="8"/>
      <c r="J822" s="8"/>
    </row>
    <row r="823">
      <c r="A823" s="8"/>
      <c r="B823" s="8" t="str">
        <f>IF(ISBLANK(A823),"",VLOOKUP(A823,DOI_URL!$B$1:$C$74,2,FALSE()))</f>
        <v/>
      </c>
      <c r="C823" s="8"/>
      <c r="D823" s="8"/>
      <c r="I823" s="8"/>
      <c r="J823" s="8"/>
    </row>
    <row r="824">
      <c r="A824" s="8"/>
      <c r="B824" s="8" t="str">
        <f>IF(ISBLANK(A824),"",VLOOKUP(A824,DOI_URL!$B$1:$C$74,2,FALSE()))</f>
        <v/>
      </c>
      <c r="C824" s="8"/>
      <c r="D824" s="8"/>
      <c r="I824" s="8"/>
      <c r="J824" s="8"/>
    </row>
    <row r="825">
      <c r="A825" s="8"/>
      <c r="B825" s="8" t="str">
        <f>IF(ISBLANK(A825),"",VLOOKUP(A825,DOI_URL!$B$1:$C$74,2,FALSE()))</f>
        <v/>
      </c>
      <c r="C825" s="8"/>
      <c r="D825" s="8"/>
      <c r="I825" s="8"/>
      <c r="J825" s="8"/>
    </row>
    <row r="826">
      <c r="A826" s="8"/>
      <c r="B826" s="8" t="str">
        <f>IF(ISBLANK(A826),"",VLOOKUP(A826,DOI_URL!$B$1:$C$74,2,FALSE()))</f>
        <v/>
      </c>
      <c r="C826" s="8"/>
      <c r="D826" s="8"/>
      <c r="I826" s="8"/>
      <c r="J826" s="8"/>
    </row>
    <row r="827">
      <c r="A827" s="8"/>
      <c r="B827" s="8" t="str">
        <f>IF(ISBLANK(A827),"",VLOOKUP(A827,DOI_URL!$B$1:$C$74,2,FALSE()))</f>
        <v/>
      </c>
      <c r="C827" s="8"/>
      <c r="D827" s="8"/>
      <c r="I827" s="8"/>
      <c r="J827" s="8"/>
    </row>
    <row r="828">
      <c r="A828" s="8"/>
      <c r="B828" s="8" t="str">
        <f>IF(ISBLANK(A828),"",VLOOKUP(A828,DOI_URL!$B$1:$C$74,2,FALSE()))</f>
        <v/>
      </c>
      <c r="C828" s="8"/>
      <c r="D828" s="8"/>
      <c r="I828" s="8"/>
      <c r="J828" s="8"/>
    </row>
    <row r="829">
      <c r="A829" s="8"/>
      <c r="B829" s="8" t="str">
        <f>IF(ISBLANK(A829),"",VLOOKUP(A829,DOI_URL!$B$1:$C$74,2,FALSE()))</f>
        <v/>
      </c>
      <c r="C829" s="8"/>
      <c r="D829" s="8"/>
      <c r="I829" s="8"/>
      <c r="J829" s="8"/>
    </row>
    <row r="830">
      <c r="A830" s="8"/>
      <c r="B830" s="8" t="str">
        <f>IF(ISBLANK(A830),"",VLOOKUP(A830,DOI_URL!$B$1:$C$74,2,FALSE()))</f>
        <v/>
      </c>
      <c r="C830" s="8"/>
      <c r="D830" s="8"/>
      <c r="I830" s="8"/>
      <c r="J830" s="8"/>
    </row>
    <row r="831">
      <c r="A831" s="8"/>
      <c r="B831" s="8" t="str">
        <f>IF(ISBLANK(A831),"",VLOOKUP(A831,DOI_URL!$B$1:$C$74,2,FALSE()))</f>
        <v/>
      </c>
      <c r="C831" s="8"/>
      <c r="D831" s="8"/>
      <c r="I831" s="8"/>
      <c r="J831" s="8"/>
    </row>
    <row r="832">
      <c r="A832" s="8"/>
      <c r="B832" s="8" t="str">
        <f>IF(ISBLANK(A832),"",VLOOKUP(A832,DOI_URL!$B$1:$C$74,2,FALSE()))</f>
        <v/>
      </c>
      <c r="C832" s="8"/>
      <c r="D832" s="8"/>
      <c r="I832" s="8"/>
      <c r="J832" s="8"/>
    </row>
    <row r="833">
      <c r="A833" s="8"/>
      <c r="B833" s="8" t="str">
        <f>IF(ISBLANK(A833),"",VLOOKUP(A833,DOI_URL!$B$1:$C$74,2,FALSE()))</f>
        <v/>
      </c>
      <c r="C833" s="8"/>
      <c r="D833" s="8"/>
      <c r="I833" s="8"/>
      <c r="J833" s="8"/>
    </row>
    <row r="834">
      <c r="A834" s="8"/>
      <c r="B834" s="8" t="str">
        <f>IF(ISBLANK(A834),"",VLOOKUP(A834,DOI_URL!$B$1:$C$74,2,FALSE()))</f>
        <v/>
      </c>
      <c r="C834" s="8"/>
      <c r="D834" s="8"/>
      <c r="I834" s="8"/>
      <c r="J834" s="8"/>
    </row>
    <row r="835">
      <c r="A835" s="8"/>
      <c r="B835" s="8" t="str">
        <f>IF(ISBLANK(A835),"",VLOOKUP(A835,DOI_URL!$B$1:$C$74,2,FALSE()))</f>
        <v/>
      </c>
      <c r="C835" s="8"/>
      <c r="D835" s="8"/>
      <c r="I835" s="8"/>
      <c r="J835" s="8"/>
    </row>
    <row r="836">
      <c r="A836" s="8"/>
      <c r="B836" s="8" t="str">
        <f>IF(ISBLANK(A836),"",VLOOKUP(A836,DOI_URL!$B$1:$C$74,2,FALSE()))</f>
        <v/>
      </c>
      <c r="C836" s="8"/>
      <c r="D836" s="8"/>
      <c r="I836" s="8"/>
      <c r="J836" s="8"/>
    </row>
    <row r="837">
      <c r="A837" s="8"/>
      <c r="B837" s="8" t="str">
        <f>IF(ISBLANK(A837),"",VLOOKUP(A837,DOI_URL!$B$1:$C$74,2,FALSE()))</f>
        <v/>
      </c>
      <c r="C837" s="8"/>
      <c r="D837" s="8"/>
      <c r="I837" s="8"/>
      <c r="J837" s="8"/>
    </row>
    <row r="838">
      <c r="A838" s="8"/>
      <c r="B838" s="8" t="str">
        <f>IF(ISBLANK(A838),"",VLOOKUP(A838,DOI_URL!$B$1:$C$74,2,FALSE()))</f>
        <v/>
      </c>
      <c r="C838" s="8"/>
      <c r="D838" s="8"/>
      <c r="I838" s="8"/>
      <c r="J838" s="8"/>
    </row>
    <row r="839">
      <c r="A839" s="8"/>
      <c r="B839" s="8" t="str">
        <f>IF(ISBLANK(A839),"",VLOOKUP(A839,DOI_URL!$B$1:$C$74,2,FALSE()))</f>
        <v/>
      </c>
      <c r="C839" s="8"/>
      <c r="D839" s="8"/>
      <c r="I839" s="8"/>
      <c r="J839" s="8"/>
    </row>
    <row r="840">
      <c r="A840" s="8"/>
      <c r="B840" s="8" t="str">
        <f>IF(ISBLANK(A840),"",VLOOKUP(A840,DOI_URL!$B$1:$C$74,2,FALSE()))</f>
        <v/>
      </c>
      <c r="C840" s="8"/>
      <c r="D840" s="8"/>
      <c r="I840" s="8"/>
      <c r="J840" s="8"/>
    </row>
    <row r="841">
      <c r="A841" s="8"/>
      <c r="B841" s="8" t="str">
        <f>IF(ISBLANK(A841),"",VLOOKUP(A841,DOI_URL!$B$1:$C$74,2,FALSE()))</f>
        <v/>
      </c>
      <c r="C841" s="8"/>
      <c r="D841" s="8"/>
      <c r="I841" s="8"/>
      <c r="J841" s="8"/>
    </row>
    <row r="842">
      <c r="A842" s="8"/>
      <c r="B842" s="8" t="str">
        <f>IF(ISBLANK(A842),"",VLOOKUP(A842,DOI_URL!$B$1:$C$74,2,FALSE()))</f>
        <v/>
      </c>
      <c r="C842" s="8"/>
      <c r="D842" s="8"/>
      <c r="I842" s="8"/>
      <c r="J842" s="8"/>
    </row>
    <row r="843">
      <c r="A843" s="8"/>
      <c r="B843" s="8" t="str">
        <f>IF(ISBLANK(A843),"",VLOOKUP(A843,DOI_URL!$B$1:$C$74,2,FALSE()))</f>
        <v/>
      </c>
      <c r="C843" s="8"/>
      <c r="D843" s="8"/>
      <c r="I843" s="8"/>
      <c r="J843" s="8"/>
    </row>
    <row r="844">
      <c r="A844" s="8"/>
      <c r="B844" s="8" t="str">
        <f>IF(ISBLANK(A844),"",VLOOKUP(A844,DOI_URL!$B$1:$C$74,2,FALSE()))</f>
        <v/>
      </c>
      <c r="C844" s="8"/>
      <c r="D844" s="8"/>
      <c r="I844" s="8"/>
      <c r="J844" s="8"/>
    </row>
    <row r="845">
      <c r="A845" s="8"/>
      <c r="B845" s="8" t="str">
        <f>IF(ISBLANK(A845),"",VLOOKUP(A845,DOI_URL!$B$1:$C$74,2,FALSE()))</f>
        <v/>
      </c>
      <c r="C845" s="8"/>
      <c r="D845" s="8"/>
      <c r="I845" s="8"/>
      <c r="J845" s="8"/>
    </row>
    <row r="846">
      <c r="A846" s="8"/>
      <c r="B846" s="8" t="str">
        <f>IF(ISBLANK(A846),"",VLOOKUP(A846,DOI_URL!$B$1:$C$74,2,FALSE()))</f>
        <v/>
      </c>
      <c r="C846" s="8"/>
      <c r="D846" s="8"/>
      <c r="I846" s="8"/>
      <c r="J846" s="8"/>
    </row>
    <row r="847">
      <c r="A847" s="8"/>
      <c r="B847" s="8" t="str">
        <f>IF(ISBLANK(A847),"",VLOOKUP(A847,DOI_URL!$B$1:$C$74,2,FALSE()))</f>
        <v/>
      </c>
      <c r="C847" s="8"/>
      <c r="D847" s="8"/>
      <c r="I847" s="8"/>
      <c r="J847" s="8"/>
    </row>
    <row r="848">
      <c r="A848" s="8"/>
      <c r="B848" s="8" t="str">
        <f>IF(ISBLANK(A848),"",VLOOKUP(A848,DOI_URL!$B$1:$C$74,2,FALSE()))</f>
        <v/>
      </c>
      <c r="C848" s="8"/>
      <c r="D848" s="8"/>
      <c r="I848" s="8"/>
      <c r="J848" s="8"/>
    </row>
    <row r="849">
      <c r="A849" s="8"/>
      <c r="B849" s="8" t="str">
        <f>IF(ISBLANK(A849),"",VLOOKUP(A849,DOI_URL!$B$1:$C$74,2,FALSE()))</f>
        <v/>
      </c>
      <c r="C849" s="8"/>
      <c r="D849" s="8"/>
      <c r="I849" s="8"/>
      <c r="J849" s="8"/>
    </row>
    <row r="850">
      <c r="A850" s="8"/>
      <c r="B850" s="8" t="str">
        <f>IF(ISBLANK(A850),"",VLOOKUP(A850,DOI_URL!$B$1:$C$74,2,FALSE()))</f>
        <v/>
      </c>
      <c r="C850" s="8"/>
      <c r="D850" s="8"/>
      <c r="I850" s="8"/>
      <c r="J850" s="8"/>
    </row>
    <row r="851">
      <c r="A851" s="8"/>
      <c r="B851" s="8" t="str">
        <f>IF(ISBLANK(A851),"",VLOOKUP(A851,DOI_URL!$B$1:$C$74,2,FALSE()))</f>
        <v/>
      </c>
      <c r="C851" s="8"/>
      <c r="D851" s="8"/>
      <c r="I851" s="8"/>
      <c r="J851" s="8"/>
    </row>
    <row r="852">
      <c r="A852" s="8"/>
      <c r="B852" s="8" t="str">
        <f>IF(ISBLANK(A852),"",VLOOKUP(A852,DOI_URL!$B$1:$C$74,2,FALSE()))</f>
        <v/>
      </c>
      <c r="C852" s="8"/>
      <c r="D852" s="8"/>
      <c r="I852" s="8"/>
      <c r="J852" s="8"/>
    </row>
    <row r="853">
      <c r="A853" s="8"/>
      <c r="B853" s="8" t="str">
        <f>IF(ISBLANK(A853),"",VLOOKUP(A853,DOI_URL!$B$1:$C$74,2,FALSE()))</f>
        <v/>
      </c>
      <c r="C853" s="8"/>
      <c r="D853" s="8"/>
      <c r="I853" s="8"/>
      <c r="J853" s="8"/>
    </row>
    <row r="854">
      <c r="A854" s="8"/>
      <c r="B854" s="8" t="str">
        <f>IF(ISBLANK(A854),"",VLOOKUP(A854,DOI_URL!$B$1:$C$74,2,FALSE()))</f>
        <v/>
      </c>
      <c r="C854" s="8"/>
      <c r="D854" s="8"/>
      <c r="I854" s="8"/>
      <c r="J854" s="8"/>
    </row>
    <row r="855">
      <c r="A855" s="8"/>
      <c r="B855" s="8" t="str">
        <f>IF(ISBLANK(A855),"",VLOOKUP(A855,DOI_URL!$B$1:$C$74,2,FALSE()))</f>
        <v/>
      </c>
      <c r="C855" s="8"/>
      <c r="D855" s="8"/>
      <c r="I855" s="8"/>
      <c r="J855" s="8"/>
    </row>
    <row r="856">
      <c r="A856" s="8"/>
      <c r="B856" s="8" t="str">
        <f>IF(ISBLANK(A856),"",VLOOKUP(A856,DOI_URL!$B$1:$C$74,2,FALSE()))</f>
        <v/>
      </c>
      <c r="C856" s="8"/>
      <c r="D856" s="8"/>
      <c r="I856" s="8"/>
      <c r="J856" s="8"/>
    </row>
    <row r="857">
      <c r="A857" s="8"/>
      <c r="B857" s="8" t="str">
        <f>IF(ISBLANK(A857),"",VLOOKUP(A857,DOI_URL!$B$1:$C$74,2,FALSE()))</f>
        <v/>
      </c>
      <c r="C857" s="8"/>
      <c r="D857" s="8"/>
      <c r="I857" s="8"/>
      <c r="J857" s="8"/>
    </row>
    <row r="858">
      <c r="A858" s="8"/>
      <c r="B858" s="8" t="str">
        <f>IF(ISBLANK(A858),"",VLOOKUP(A858,DOI_URL!$B$1:$C$74,2,FALSE()))</f>
        <v/>
      </c>
      <c r="C858" s="8"/>
      <c r="D858" s="8"/>
      <c r="I858" s="8"/>
      <c r="J858" s="8"/>
    </row>
    <row r="859">
      <c r="A859" s="8"/>
      <c r="B859" s="8" t="str">
        <f>IF(ISBLANK(A859),"",VLOOKUP(A859,DOI_URL!$B$1:$C$74,2,FALSE()))</f>
        <v/>
      </c>
      <c r="C859" s="8"/>
      <c r="D859" s="8"/>
      <c r="I859" s="8"/>
      <c r="J859" s="8"/>
    </row>
    <row r="860">
      <c r="A860" s="8"/>
      <c r="B860" s="8" t="str">
        <f>IF(ISBLANK(A860),"",VLOOKUP(A860,DOI_URL!$B$1:$C$74,2,FALSE()))</f>
        <v/>
      </c>
      <c r="C860" s="8"/>
      <c r="D860" s="8"/>
      <c r="I860" s="8"/>
      <c r="J860" s="8"/>
    </row>
    <row r="861">
      <c r="A861" s="8"/>
      <c r="B861" s="8" t="str">
        <f>IF(ISBLANK(A861),"",VLOOKUP(A861,DOI_URL!$B$1:$C$74,2,FALSE()))</f>
        <v/>
      </c>
      <c r="C861" s="8"/>
      <c r="D861" s="8"/>
      <c r="I861" s="8"/>
      <c r="J861" s="8"/>
    </row>
    <row r="862">
      <c r="A862" s="8"/>
      <c r="B862" s="8" t="str">
        <f>IF(ISBLANK(A862),"",VLOOKUP(A862,DOI_URL!$B$1:$C$74,2,FALSE()))</f>
        <v/>
      </c>
      <c r="C862" s="8"/>
      <c r="D862" s="8"/>
      <c r="I862" s="8"/>
      <c r="J862" s="8"/>
    </row>
    <row r="863">
      <c r="A863" s="8"/>
      <c r="B863" s="8" t="str">
        <f>IF(ISBLANK(A863),"",VLOOKUP(A863,DOI_URL!$B$1:$C$74,2,FALSE()))</f>
        <v/>
      </c>
      <c r="C863" s="8"/>
      <c r="D863" s="8"/>
      <c r="I863" s="8"/>
      <c r="J863" s="8"/>
    </row>
    <row r="864">
      <c r="A864" s="8"/>
      <c r="B864" s="8" t="str">
        <f>IF(ISBLANK(A864),"",VLOOKUP(A864,DOI_URL!$B$1:$C$74,2,FALSE()))</f>
        <v/>
      </c>
      <c r="C864" s="8"/>
      <c r="D864" s="8"/>
      <c r="I864" s="8"/>
      <c r="J864" s="8"/>
    </row>
    <row r="865">
      <c r="A865" s="8"/>
      <c r="B865" s="8" t="str">
        <f>IF(ISBLANK(A865),"",VLOOKUP(A865,DOI_URL!$B$1:$C$74,2,FALSE()))</f>
        <v/>
      </c>
      <c r="C865" s="8"/>
      <c r="D865" s="8"/>
      <c r="I865" s="8"/>
      <c r="J865" s="8"/>
    </row>
    <row r="866">
      <c r="A866" s="8"/>
      <c r="B866" s="8" t="str">
        <f>IF(ISBLANK(A866),"",VLOOKUP(A866,DOI_URL!$B$1:$C$74,2,FALSE()))</f>
        <v/>
      </c>
      <c r="C866" s="8"/>
      <c r="D866" s="8"/>
      <c r="I866" s="8"/>
      <c r="J866" s="8"/>
    </row>
    <row r="867">
      <c r="A867" s="8"/>
      <c r="B867" s="8" t="str">
        <f>IF(ISBLANK(A867),"",VLOOKUP(A867,DOI_URL!$B$1:$C$74,2,FALSE()))</f>
        <v/>
      </c>
      <c r="C867" s="8"/>
      <c r="D867" s="8"/>
      <c r="I867" s="8"/>
      <c r="J867" s="8"/>
    </row>
    <row r="868">
      <c r="A868" s="8"/>
      <c r="B868" s="8" t="str">
        <f>IF(ISBLANK(A868),"",VLOOKUP(A868,DOI_URL!$B$1:$C$74,2,FALSE()))</f>
        <v/>
      </c>
      <c r="C868" s="8"/>
      <c r="D868" s="8"/>
      <c r="I868" s="8"/>
      <c r="J868" s="8"/>
    </row>
    <row r="869">
      <c r="A869" s="8"/>
      <c r="B869" s="8" t="str">
        <f>IF(ISBLANK(A869),"",VLOOKUP(A869,DOI_URL!$B$1:$C$74,2,FALSE()))</f>
        <v/>
      </c>
      <c r="C869" s="8"/>
      <c r="D869" s="8"/>
      <c r="I869" s="8"/>
      <c r="J869" s="8"/>
    </row>
    <row r="870">
      <c r="A870" s="8"/>
      <c r="B870" s="8" t="str">
        <f>IF(ISBLANK(A870),"",VLOOKUP(A870,DOI_URL!$B$1:$C$74,2,FALSE()))</f>
        <v/>
      </c>
      <c r="C870" s="8"/>
      <c r="D870" s="8"/>
      <c r="I870" s="8"/>
      <c r="J870" s="8"/>
    </row>
    <row r="871">
      <c r="A871" s="8"/>
      <c r="B871" s="8" t="str">
        <f>IF(ISBLANK(A871),"",VLOOKUP(A871,DOI_URL!$B$1:$C$74,2,FALSE()))</f>
        <v/>
      </c>
      <c r="C871" s="8"/>
      <c r="D871" s="8"/>
      <c r="I871" s="8"/>
      <c r="J871" s="8"/>
    </row>
    <row r="872">
      <c r="A872" s="8"/>
      <c r="B872" s="8" t="str">
        <f>IF(ISBLANK(A872),"",VLOOKUP(A872,DOI_URL!$B$1:$C$74,2,FALSE()))</f>
        <v/>
      </c>
      <c r="C872" s="8"/>
      <c r="D872" s="8"/>
      <c r="I872" s="8"/>
      <c r="J872" s="8"/>
    </row>
    <row r="873">
      <c r="A873" s="8"/>
      <c r="B873" s="8" t="str">
        <f>IF(ISBLANK(A873),"",VLOOKUP(A873,DOI_URL!$B$1:$C$74,2,FALSE()))</f>
        <v/>
      </c>
      <c r="C873" s="8"/>
      <c r="D873" s="8"/>
      <c r="I873" s="8"/>
      <c r="J873" s="8"/>
    </row>
    <row r="874">
      <c r="A874" s="8"/>
      <c r="B874" s="8" t="str">
        <f>IF(ISBLANK(A874),"",VLOOKUP(A874,DOI_URL!$B$1:$C$74,2,FALSE()))</f>
        <v/>
      </c>
      <c r="C874" s="8"/>
      <c r="D874" s="8"/>
      <c r="I874" s="8"/>
      <c r="J874" s="8"/>
    </row>
    <row r="875">
      <c r="A875" s="8"/>
      <c r="B875" s="8" t="str">
        <f>IF(ISBLANK(A875),"",VLOOKUP(A875,DOI_URL!$B$1:$C$74,2,FALSE()))</f>
        <v/>
      </c>
      <c r="C875" s="8"/>
      <c r="D875" s="8"/>
      <c r="I875" s="8"/>
      <c r="J875" s="8"/>
    </row>
    <row r="876">
      <c r="A876" s="8"/>
      <c r="B876" s="8" t="str">
        <f>IF(ISBLANK(A876),"",VLOOKUP(A876,DOI_URL!$B$1:$C$74,2,FALSE()))</f>
        <v/>
      </c>
      <c r="C876" s="8"/>
      <c r="D876" s="8"/>
      <c r="I876" s="8"/>
      <c r="J876" s="8"/>
    </row>
    <row r="877">
      <c r="A877" s="8"/>
      <c r="B877" s="8" t="str">
        <f>IF(ISBLANK(A877),"",VLOOKUP(A877,DOI_URL!$B$1:$C$74,2,FALSE()))</f>
        <v/>
      </c>
      <c r="C877" s="8"/>
      <c r="D877" s="8"/>
      <c r="I877" s="8"/>
      <c r="J877" s="8"/>
    </row>
    <row r="878">
      <c r="A878" s="8"/>
      <c r="B878" s="8" t="str">
        <f>IF(ISBLANK(A878),"",VLOOKUP(A878,DOI_URL!$B$1:$C$74,2,FALSE()))</f>
        <v/>
      </c>
      <c r="C878" s="8"/>
      <c r="D878" s="8"/>
      <c r="I878" s="8"/>
      <c r="J878" s="8"/>
    </row>
    <row r="879">
      <c r="A879" s="8"/>
      <c r="B879" s="8" t="str">
        <f>IF(ISBLANK(A879),"",VLOOKUP(A879,DOI_URL!$B$1:$C$74,2,FALSE()))</f>
        <v/>
      </c>
      <c r="C879" s="8"/>
      <c r="D879" s="8"/>
      <c r="I879" s="8"/>
      <c r="J879" s="8"/>
    </row>
    <row r="880">
      <c r="A880" s="8"/>
      <c r="B880" s="8" t="str">
        <f>IF(ISBLANK(A880),"",VLOOKUP(A880,DOI_URL!$B$1:$C$74,2,FALSE()))</f>
        <v/>
      </c>
      <c r="C880" s="8"/>
      <c r="D880" s="8"/>
      <c r="I880" s="8"/>
      <c r="J880" s="8"/>
    </row>
    <row r="881">
      <c r="A881" s="8"/>
      <c r="B881" s="8" t="str">
        <f>IF(ISBLANK(A881),"",VLOOKUP(A881,DOI_URL!$B$1:$C$74,2,FALSE()))</f>
        <v/>
      </c>
      <c r="C881" s="8"/>
      <c r="D881" s="8"/>
      <c r="I881" s="8"/>
      <c r="J881" s="8"/>
    </row>
    <row r="882">
      <c r="A882" s="8"/>
      <c r="B882" s="8" t="str">
        <f>IF(ISBLANK(A882),"",VLOOKUP(A882,DOI_URL!$B$1:$C$74,2,FALSE()))</f>
        <v/>
      </c>
      <c r="C882" s="8"/>
      <c r="D882" s="8"/>
      <c r="I882" s="8"/>
      <c r="J882" s="8"/>
    </row>
    <row r="883">
      <c r="A883" s="8"/>
      <c r="B883" s="8" t="str">
        <f>IF(ISBLANK(A883),"",VLOOKUP(A883,DOI_URL!$B$1:$C$74,2,FALSE()))</f>
        <v/>
      </c>
      <c r="C883" s="8"/>
      <c r="D883" s="8"/>
      <c r="I883" s="8"/>
      <c r="J883" s="8"/>
    </row>
    <row r="884">
      <c r="A884" s="8"/>
      <c r="B884" s="8" t="str">
        <f>IF(ISBLANK(A884),"",VLOOKUP(A884,DOI_URL!$B$1:$C$74,2,FALSE()))</f>
        <v/>
      </c>
      <c r="C884" s="8"/>
      <c r="D884" s="8"/>
      <c r="I884" s="8"/>
      <c r="J884" s="8"/>
    </row>
    <row r="885">
      <c r="A885" s="8"/>
      <c r="B885" s="8" t="str">
        <f>IF(ISBLANK(A885),"",VLOOKUP(A885,DOI_URL!$B$1:$C$74,2,FALSE()))</f>
        <v/>
      </c>
      <c r="C885" s="8"/>
      <c r="D885" s="8"/>
      <c r="I885" s="8"/>
      <c r="J885" s="8"/>
    </row>
    <row r="886">
      <c r="A886" s="8"/>
      <c r="B886" s="8" t="str">
        <f>IF(ISBLANK(A886),"",VLOOKUP(A886,DOI_URL!$B$1:$C$74,2,FALSE()))</f>
        <v/>
      </c>
      <c r="C886" s="8"/>
      <c r="D886" s="8"/>
      <c r="I886" s="8"/>
      <c r="J886" s="8"/>
    </row>
    <row r="887">
      <c r="A887" s="8"/>
      <c r="B887" s="8" t="str">
        <f>IF(ISBLANK(A887),"",VLOOKUP(A887,DOI_URL!$B$1:$C$74,2,FALSE()))</f>
        <v/>
      </c>
      <c r="C887" s="8"/>
      <c r="D887" s="8"/>
      <c r="I887" s="8"/>
      <c r="J887" s="8"/>
    </row>
    <row r="888">
      <c r="A888" s="8"/>
      <c r="B888" s="8" t="str">
        <f>IF(ISBLANK(A888),"",VLOOKUP(A888,DOI_URL!$B$1:$C$74,2,FALSE()))</f>
        <v/>
      </c>
      <c r="C888" s="8"/>
      <c r="D888" s="8"/>
      <c r="I888" s="8"/>
      <c r="J888" s="8"/>
    </row>
    <row r="889">
      <c r="A889" s="8"/>
      <c r="B889" s="8" t="str">
        <f>IF(ISBLANK(A889),"",VLOOKUP(A889,DOI_URL!$B$1:$C$74,2,FALSE()))</f>
        <v/>
      </c>
      <c r="C889" s="8"/>
      <c r="D889" s="8"/>
      <c r="I889" s="8"/>
      <c r="J889" s="8"/>
    </row>
    <row r="890">
      <c r="A890" s="8"/>
      <c r="B890" s="8" t="str">
        <f>IF(ISBLANK(A890),"",VLOOKUP(A890,DOI_URL!$B$1:$C$74,2,FALSE()))</f>
        <v/>
      </c>
      <c r="C890" s="8"/>
      <c r="D890" s="8"/>
      <c r="I890" s="8"/>
      <c r="J890" s="8"/>
    </row>
    <row r="891">
      <c r="A891" s="8"/>
      <c r="B891" s="8" t="str">
        <f>IF(ISBLANK(A891),"",VLOOKUP(A891,DOI_URL!$B$1:$C$74,2,FALSE()))</f>
        <v/>
      </c>
      <c r="C891" s="8"/>
      <c r="D891" s="8"/>
      <c r="I891" s="8"/>
      <c r="J891" s="8"/>
    </row>
    <row r="892">
      <c r="A892" s="8"/>
      <c r="B892" s="8" t="str">
        <f>IF(ISBLANK(A892),"",VLOOKUP(A892,DOI_URL!$B$1:$C$74,2,FALSE()))</f>
        <v/>
      </c>
      <c r="C892" s="8"/>
      <c r="D892" s="8"/>
      <c r="I892" s="8"/>
      <c r="J892" s="8"/>
    </row>
    <row r="893">
      <c r="A893" s="8"/>
      <c r="B893" s="8" t="str">
        <f>IF(ISBLANK(A893),"",VLOOKUP(A893,DOI_URL!$B$1:$C$74,2,FALSE()))</f>
        <v/>
      </c>
      <c r="C893" s="8"/>
      <c r="D893" s="8"/>
      <c r="I893" s="8"/>
      <c r="J893" s="8"/>
    </row>
    <row r="894">
      <c r="A894" s="8"/>
      <c r="B894" s="8" t="str">
        <f>IF(ISBLANK(A894),"",VLOOKUP(A894,DOI_URL!$B$1:$C$74,2,FALSE()))</f>
        <v/>
      </c>
      <c r="C894" s="8"/>
      <c r="D894" s="8"/>
      <c r="I894" s="8"/>
      <c r="J894" s="8"/>
    </row>
    <row r="895">
      <c r="A895" s="8"/>
      <c r="B895" s="8" t="str">
        <f>IF(ISBLANK(A895),"",VLOOKUP(A895,DOI_URL!$B$1:$C$74,2,FALSE()))</f>
        <v/>
      </c>
      <c r="C895" s="8"/>
      <c r="D895" s="8"/>
      <c r="I895" s="8"/>
      <c r="J895" s="8"/>
    </row>
    <row r="896">
      <c r="A896" s="8"/>
      <c r="B896" s="8" t="str">
        <f>IF(ISBLANK(A896),"",VLOOKUP(A896,DOI_URL!$B$1:$C$74,2,FALSE()))</f>
        <v/>
      </c>
      <c r="C896" s="8"/>
      <c r="D896" s="8"/>
      <c r="I896" s="8"/>
      <c r="J896" s="8"/>
    </row>
    <row r="897">
      <c r="A897" s="8"/>
      <c r="B897" s="8" t="str">
        <f>IF(ISBLANK(A897),"",VLOOKUP(A897,DOI_URL!$B$1:$C$74,2,FALSE()))</f>
        <v/>
      </c>
      <c r="C897" s="8"/>
      <c r="D897" s="8"/>
      <c r="I897" s="8"/>
      <c r="J897" s="8"/>
    </row>
    <row r="898">
      <c r="A898" s="8"/>
      <c r="B898" s="8" t="str">
        <f>IF(ISBLANK(A898),"",VLOOKUP(A898,DOI_URL!$B$1:$C$74,2,FALSE()))</f>
        <v/>
      </c>
      <c r="C898" s="8"/>
      <c r="D898" s="8"/>
      <c r="I898" s="8"/>
      <c r="J898" s="8"/>
    </row>
    <row r="899">
      <c r="A899" s="8"/>
      <c r="B899" s="8" t="str">
        <f>IF(ISBLANK(A899),"",VLOOKUP(A899,DOI_URL!$B$1:$C$74,2,FALSE()))</f>
        <v/>
      </c>
      <c r="C899" s="8"/>
      <c r="D899" s="8"/>
      <c r="I899" s="8"/>
      <c r="J899" s="8"/>
    </row>
    <row r="900">
      <c r="A900" s="8"/>
      <c r="B900" s="8" t="str">
        <f>IF(ISBLANK(A900),"",VLOOKUP(A900,DOI_URL!$B$1:$C$74,2,FALSE()))</f>
        <v/>
      </c>
      <c r="C900" s="8"/>
      <c r="D900" s="8"/>
      <c r="I900" s="8"/>
      <c r="J900" s="8"/>
    </row>
    <row r="901">
      <c r="A901" s="8"/>
      <c r="B901" s="8" t="str">
        <f>IF(ISBLANK(A901),"",VLOOKUP(A901,DOI_URL!$B$1:$C$74,2,FALSE()))</f>
        <v/>
      </c>
      <c r="C901" s="8"/>
      <c r="D901" s="8"/>
      <c r="I901" s="8"/>
      <c r="J901" s="8"/>
    </row>
    <row r="902">
      <c r="A902" s="8"/>
      <c r="B902" s="8" t="str">
        <f>IF(ISBLANK(A902),"",VLOOKUP(A902,DOI_URL!$B$1:$C$74,2,FALSE()))</f>
        <v/>
      </c>
      <c r="C902" s="8"/>
      <c r="D902" s="8"/>
      <c r="I902" s="8"/>
      <c r="J902" s="8"/>
    </row>
    <row r="903">
      <c r="A903" s="8"/>
      <c r="B903" s="8" t="str">
        <f>IF(ISBLANK(A903),"",VLOOKUP(A903,DOI_URL!$B$1:$C$74,2,FALSE()))</f>
        <v/>
      </c>
      <c r="C903" s="8"/>
      <c r="D903" s="8"/>
      <c r="I903" s="8"/>
      <c r="J903" s="8"/>
    </row>
    <row r="904">
      <c r="A904" s="8"/>
      <c r="B904" s="8" t="str">
        <f>IF(ISBLANK(A904),"",VLOOKUP(A904,DOI_URL!$B$1:$C$74,2,FALSE()))</f>
        <v/>
      </c>
      <c r="C904" s="8"/>
      <c r="D904" s="8"/>
      <c r="I904" s="8"/>
      <c r="J904" s="8"/>
    </row>
    <row r="905">
      <c r="A905" s="8"/>
      <c r="B905" s="8" t="str">
        <f>IF(ISBLANK(A905),"",VLOOKUP(A905,DOI_URL!$B$1:$C$74,2,FALSE()))</f>
        <v/>
      </c>
      <c r="C905" s="8"/>
      <c r="D905" s="8"/>
      <c r="I905" s="8"/>
      <c r="J905" s="8"/>
    </row>
    <row r="906">
      <c r="A906" s="8"/>
      <c r="B906" s="8" t="str">
        <f>IF(ISBLANK(A906),"",VLOOKUP(A906,DOI_URL!$B$1:$C$74,2,FALSE()))</f>
        <v/>
      </c>
      <c r="C906" s="8"/>
      <c r="D906" s="8"/>
      <c r="I906" s="8"/>
      <c r="J906" s="8"/>
    </row>
    <row r="907">
      <c r="A907" s="8"/>
      <c r="B907" s="8" t="str">
        <f>IF(ISBLANK(A907),"",VLOOKUP(A907,DOI_URL!$B$1:$C$74,2,FALSE()))</f>
        <v/>
      </c>
      <c r="C907" s="8"/>
      <c r="D907" s="8"/>
      <c r="I907" s="8"/>
      <c r="J907" s="8"/>
    </row>
    <row r="908">
      <c r="A908" s="8"/>
      <c r="B908" s="8" t="str">
        <f>IF(ISBLANK(A908),"",VLOOKUP(A908,DOI_URL!$B$1:$C$74,2,FALSE()))</f>
        <v/>
      </c>
      <c r="C908" s="8"/>
      <c r="D908" s="8"/>
      <c r="I908" s="8"/>
      <c r="J908" s="8"/>
    </row>
    <row r="909">
      <c r="A909" s="8"/>
      <c r="B909" s="8" t="str">
        <f>IF(ISBLANK(A909),"",VLOOKUP(A909,DOI_URL!$B$1:$C$74,2,FALSE()))</f>
        <v/>
      </c>
      <c r="C909" s="8"/>
      <c r="D909" s="8"/>
      <c r="I909" s="8"/>
      <c r="J909" s="8"/>
    </row>
    <row r="910">
      <c r="A910" s="8"/>
      <c r="B910" s="8" t="str">
        <f>IF(ISBLANK(A910),"",VLOOKUP(A910,DOI_URL!$B$1:$C$74,2,FALSE()))</f>
        <v/>
      </c>
      <c r="C910" s="8"/>
      <c r="D910" s="8"/>
      <c r="I910" s="8"/>
      <c r="J910" s="8"/>
    </row>
    <row r="911">
      <c r="A911" s="8"/>
      <c r="B911" s="8" t="str">
        <f>IF(ISBLANK(A911),"",VLOOKUP(A911,DOI_URL!$B$1:$C$74,2,FALSE()))</f>
        <v/>
      </c>
      <c r="C911" s="8"/>
      <c r="D911" s="8"/>
      <c r="I911" s="8"/>
      <c r="J911" s="8"/>
    </row>
    <row r="912">
      <c r="A912" s="8"/>
      <c r="B912" s="8" t="str">
        <f>IF(ISBLANK(A912),"",VLOOKUP(A912,DOI_URL!$B$1:$C$74,2,FALSE()))</f>
        <v/>
      </c>
      <c r="C912" s="8"/>
      <c r="D912" s="8"/>
      <c r="I912" s="8"/>
      <c r="J912" s="8"/>
    </row>
    <row r="913">
      <c r="A913" s="8"/>
      <c r="B913" s="8" t="str">
        <f>IF(ISBLANK(A913),"",VLOOKUP(A913,DOI_URL!$B$1:$C$74,2,FALSE()))</f>
        <v/>
      </c>
      <c r="C913" s="8"/>
      <c r="D913" s="8"/>
      <c r="I913" s="8"/>
      <c r="J913" s="8"/>
    </row>
    <row r="914">
      <c r="A914" s="8"/>
      <c r="B914" s="8" t="str">
        <f>IF(ISBLANK(A914),"",VLOOKUP(A914,DOI_URL!$B$1:$C$74,2,FALSE()))</f>
        <v/>
      </c>
      <c r="C914" s="8"/>
      <c r="D914" s="8"/>
      <c r="I914" s="8"/>
      <c r="J914" s="8"/>
    </row>
    <row r="915">
      <c r="A915" s="8"/>
      <c r="B915" s="8" t="str">
        <f>IF(ISBLANK(A915),"",VLOOKUP(A915,DOI_URL!$B$1:$C$74,2,FALSE()))</f>
        <v/>
      </c>
      <c r="C915" s="8"/>
      <c r="D915" s="8"/>
      <c r="I915" s="8"/>
      <c r="J915" s="8"/>
    </row>
    <row r="916">
      <c r="A916" s="8"/>
      <c r="B916" s="8" t="str">
        <f>IF(ISBLANK(A916),"",VLOOKUP(A916,DOI_URL!$B$1:$C$74,2,FALSE()))</f>
        <v/>
      </c>
      <c r="C916" s="8"/>
      <c r="D916" s="8"/>
      <c r="I916" s="8"/>
      <c r="J916" s="8"/>
    </row>
    <row r="917">
      <c r="A917" s="8"/>
      <c r="B917" s="8" t="str">
        <f>IF(ISBLANK(A917),"",VLOOKUP(A917,DOI_URL!$B$1:$C$74,2,FALSE()))</f>
        <v/>
      </c>
      <c r="C917" s="8"/>
      <c r="D917" s="8"/>
      <c r="I917" s="8"/>
      <c r="J917" s="8"/>
    </row>
    <row r="918">
      <c r="A918" s="8"/>
      <c r="B918" s="8" t="str">
        <f>IF(ISBLANK(A918),"",VLOOKUP(A918,DOI_URL!$B$1:$C$74,2,FALSE()))</f>
        <v/>
      </c>
      <c r="C918" s="8"/>
      <c r="D918" s="8"/>
      <c r="I918" s="8"/>
      <c r="J918" s="8"/>
    </row>
    <row r="919">
      <c r="A919" s="8"/>
      <c r="B919" s="8" t="str">
        <f>IF(ISBLANK(A919),"",VLOOKUP(A919,DOI_URL!$B$1:$C$74,2,FALSE()))</f>
        <v/>
      </c>
      <c r="C919" s="8"/>
      <c r="D919" s="8"/>
      <c r="I919" s="8"/>
      <c r="J919" s="8"/>
    </row>
    <row r="920">
      <c r="A920" s="8"/>
      <c r="B920" s="8" t="str">
        <f>IF(ISBLANK(A920),"",VLOOKUP(A920,DOI_URL!$B$1:$C$74,2,FALSE()))</f>
        <v/>
      </c>
      <c r="C920" s="8"/>
      <c r="D920" s="8"/>
      <c r="I920" s="8"/>
      <c r="J920" s="8"/>
    </row>
    <row r="921">
      <c r="A921" s="8"/>
      <c r="B921" s="8" t="str">
        <f>IF(ISBLANK(A921),"",VLOOKUP(A921,DOI_URL!$B$1:$C$74,2,FALSE()))</f>
        <v/>
      </c>
      <c r="C921" s="8"/>
      <c r="D921" s="8"/>
      <c r="I921" s="8"/>
      <c r="J921" s="8"/>
    </row>
    <row r="922">
      <c r="A922" s="8"/>
      <c r="B922" s="8" t="str">
        <f>IF(ISBLANK(A922),"",VLOOKUP(A922,DOI_URL!$B$1:$C$74,2,FALSE()))</f>
        <v/>
      </c>
      <c r="C922" s="8"/>
      <c r="D922" s="8"/>
      <c r="I922" s="8"/>
      <c r="J922" s="8"/>
    </row>
    <row r="923">
      <c r="A923" s="8"/>
      <c r="B923" s="8" t="str">
        <f>IF(ISBLANK(A923),"",VLOOKUP(A923,DOI_URL!$B$1:$C$74,2,FALSE()))</f>
        <v/>
      </c>
      <c r="C923" s="8"/>
      <c r="D923" s="8"/>
      <c r="I923" s="8"/>
      <c r="J923" s="8"/>
    </row>
    <row r="924">
      <c r="A924" s="8"/>
      <c r="B924" s="8" t="str">
        <f>IF(ISBLANK(A924),"",VLOOKUP(A924,DOI_URL!$B$1:$C$74,2,FALSE()))</f>
        <v/>
      </c>
      <c r="C924" s="8"/>
      <c r="D924" s="8"/>
      <c r="I924" s="8"/>
      <c r="J924" s="8"/>
    </row>
    <row r="925">
      <c r="A925" s="8"/>
      <c r="B925" s="8" t="str">
        <f>IF(ISBLANK(A925),"",VLOOKUP(A925,DOI_URL!$B$1:$C$74,2,FALSE()))</f>
        <v/>
      </c>
      <c r="C925" s="8"/>
      <c r="D925" s="8"/>
      <c r="I925" s="8"/>
      <c r="J925" s="8"/>
    </row>
    <row r="926">
      <c r="A926" s="8"/>
      <c r="B926" s="8" t="str">
        <f>IF(ISBLANK(A926),"",VLOOKUP(A926,DOI_URL!$B$1:$C$74,2,FALSE()))</f>
        <v/>
      </c>
      <c r="C926" s="8"/>
      <c r="D926" s="8"/>
      <c r="I926" s="8"/>
      <c r="J926" s="8"/>
    </row>
    <row r="927">
      <c r="A927" s="8"/>
      <c r="B927" s="8" t="str">
        <f>IF(ISBLANK(A927),"",VLOOKUP(A927,DOI_URL!$B$1:$C$74,2,FALSE()))</f>
        <v/>
      </c>
      <c r="C927" s="8"/>
      <c r="D927" s="8"/>
      <c r="I927" s="8"/>
      <c r="J927" s="8"/>
    </row>
    <row r="928">
      <c r="A928" s="8"/>
      <c r="B928" s="8" t="str">
        <f>IF(ISBLANK(A928),"",VLOOKUP(A928,DOI_URL!$B$1:$C$74,2,FALSE()))</f>
        <v/>
      </c>
      <c r="C928" s="8"/>
      <c r="D928" s="8"/>
      <c r="I928" s="8"/>
      <c r="J928" s="8"/>
    </row>
    <row r="929">
      <c r="A929" s="8"/>
      <c r="B929" s="8" t="str">
        <f>IF(ISBLANK(A929),"",VLOOKUP(A929,DOI_URL!$B$1:$C$74,2,FALSE()))</f>
        <v/>
      </c>
      <c r="C929" s="8"/>
      <c r="D929" s="8"/>
      <c r="I929" s="8"/>
      <c r="J929" s="8"/>
    </row>
    <row r="930">
      <c r="A930" s="8"/>
      <c r="B930" s="8" t="str">
        <f>IF(ISBLANK(A930),"",VLOOKUP(A930,DOI_URL!$B$1:$C$74,2,FALSE()))</f>
        <v/>
      </c>
      <c r="C930" s="8"/>
      <c r="D930" s="8"/>
      <c r="I930" s="8"/>
      <c r="J930" s="8"/>
    </row>
    <row r="931">
      <c r="A931" s="8"/>
      <c r="B931" s="8" t="str">
        <f>IF(ISBLANK(A931),"",VLOOKUP(A931,DOI_URL!$B$1:$C$74,2,FALSE()))</f>
        <v/>
      </c>
      <c r="C931" s="8"/>
      <c r="D931" s="8"/>
      <c r="I931" s="8"/>
      <c r="J931" s="8"/>
    </row>
    <row r="932">
      <c r="A932" s="8"/>
      <c r="B932" s="8" t="str">
        <f>IF(ISBLANK(A932),"",VLOOKUP(A932,DOI_URL!$B$1:$C$74,2,FALSE()))</f>
        <v/>
      </c>
      <c r="C932" s="8"/>
      <c r="D932" s="8"/>
      <c r="I932" s="8"/>
      <c r="J932" s="8"/>
    </row>
    <row r="933">
      <c r="A933" s="8"/>
      <c r="B933" s="8" t="str">
        <f>IF(ISBLANK(A933),"",VLOOKUP(A933,DOI_URL!$B$1:$C$74,2,FALSE()))</f>
        <v/>
      </c>
      <c r="C933" s="8"/>
      <c r="D933" s="8"/>
      <c r="I933" s="8"/>
      <c r="J933" s="8"/>
    </row>
    <row r="934">
      <c r="A934" s="8"/>
      <c r="B934" s="8" t="str">
        <f>IF(ISBLANK(A934),"",VLOOKUP(A934,DOI_URL!$B$1:$C$74,2,FALSE()))</f>
        <v/>
      </c>
      <c r="C934" s="8"/>
      <c r="D934" s="8"/>
      <c r="I934" s="8"/>
      <c r="J934" s="8"/>
    </row>
    <row r="935">
      <c r="A935" s="8"/>
      <c r="B935" s="8" t="str">
        <f>IF(ISBLANK(A935),"",VLOOKUP(A935,DOI_URL!$B$1:$C$74,2,FALSE()))</f>
        <v/>
      </c>
      <c r="C935" s="8"/>
      <c r="D935" s="8"/>
      <c r="I935" s="8"/>
      <c r="J935" s="8"/>
    </row>
    <row r="936">
      <c r="A936" s="8"/>
      <c r="B936" s="8" t="str">
        <f>IF(ISBLANK(A936),"",VLOOKUP(A936,DOI_URL!$B$1:$C$74,2,FALSE()))</f>
        <v/>
      </c>
      <c r="C936" s="8"/>
      <c r="D936" s="8"/>
      <c r="I936" s="8"/>
      <c r="J936" s="8"/>
    </row>
    <row r="937">
      <c r="A937" s="8"/>
      <c r="B937" s="8" t="str">
        <f>IF(ISBLANK(A937),"",VLOOKUP(A937,DOI_URL!$B$1:$C$74,2,FALSE()))</f>
        <v/>
      </c>
      <c r="C937" s="8"/>
      <c r="D937" s="8"/>
      <c r="I937" s="8"/>
      <c r="J937" s="8"/>
    </row>
    <row r="938">
      <c r="A938" s="8"/>
      <c r="B938" s="8" t="str">
        <f>IF(ISBLANK(A938),"",VLOOKUP(A938,DOI_URL!$B$1:$C$74,2,FALSE()))</f>
        <v/>
      </c>
      <c r="C938" s="8"/>
      <c r="D938" s="8"/>
      <c r="I938" s="8"/>
      <c r="J938" s="8"/>
    </row>
    <row r="939">
      <c r="A939" s="8"/>
      <c r="B939" s="8" t="str">
        <f>IF(ISBLANK(A939),"",VLOOKUP(A939,DOI_URL!$B$1:$C$74,2,FALSE()))</f>
        <v/>
      </c>
      <c r="C939" s="8"/>
      <c r="D939" s="8"/>
      <c r="I939" s="8"/>
      <c r="J939" s="8"/>
    </row>
    <row r="940">
      <c r="A940" s="8"/>
      <c r="B940" s="8" t="str">
        <f>IF(ISBLANK(A940),"",VLOOKUP(A940,DOI_URL!$B$1:$C$74,2,FALSE()))</f>
        <v/>
      </c>
      <c r="C940" s="8"/>
      <c r="D940" s="8"/>
      <c r="I940" s="8"/>
      <c r="J940" s="8"/>
    </row>
    <row r="941">
      <c r="A941" s="8"/>
      <c r="B941" s="8" t="str">
        <f>IF(ISBLANK(A941),"",VLOOKUP(A941,DOI_URL!$B$1:$C$74,2,FALSE()))</f>
        <v/>
      </c>
      <c r="C941" s="8"/>
      <c r="D941" s="8"/>
      <c r="I941" s="8"/>
      <c r="J941" s="8"/>
    </row>
    <row r="942">
      <c r="A942" s="8"/>
      <c r="B942" s="8" t="str">
        <f>IF(ISBLANK(A942),"",VLOOKUP(A942,DOI_URL!$B$1:$C$74,2,FALSE()))</f>
        <v/>
      </c>
      <c r="C942" s="8"/>
      <c r="D942" s="8"/>
      <c r="I942" s="8"/>
      <c r="J942" s="8"/>
    </row>
    <row r="943">
      <c r="A943" s="8"/>
      <c r="B943" s="8" t="str">
        <f>IF(ISBLANK(A943),"",VLOOKUP(A943,DOI_URL!$B$1:$C$74,2,FALSE()))</f>
        <v/>
      </c>
      <c r="C943" s="8"/>
      <c r="D943" s="8"/>
      <c r="I943" s="8"/>
      <c r="J943" s="8"/>
    </row>
    <row r="944">
      <c r="A944" s="8"/>
      <c r="B944" s="8" t="str">
        <f>IF(ISBLANK(A944),"",VLOOKUP(A944,DOI_URL!$B$1:$C$74,2,FALSE()))</f>
        <v/>
      </c>
      <c r="C944" s="8"/>
      <c r="D944" s="8"/>
      <c r="I944" s="8"/>
      <c r="J944" s="8"/>
    </row>
    <row r="945">
      <c r="A945" s="8"/>
      <c r="B945" s="8" t="str">
        <f>IF(ISBLANK(A945),"",VLOOKUP(A945,DOI_URL!$B$1:$C$74,2,FALSE()))</f>
        <v/>
      </c>
      <c r="C945" s="8"/>
      <c r="D945" s="8"/>
      <c r="I945" s="8"/>
      <c r="J945" s="8"/>
    </row>
    <row r="946">
      <c r="A946" s="8"/>
      <c r="B946" s="8" t="str">
        <f>IF(ISBLANK(A946),"",VLOOKUP(A946,DOI_URL!$B$1:$C$74,2,FALSE()))</f>
        <v/>
      </c>
      <c r="C946" s="8"/>
      <c r="D946" s="8"/>
      <c r="I946" s="8"/>
      <c r="J946" s="8"/>
    </row>
    <row r="947">
      <c r="A947" s="8"/>
      <c r="B947" s="8" t="str">
        <f>IF(ISBLANK(A947),"",VLOOKUP(A947,DOI_URL!$B$1:$C$74,2,FALSE()))</f>
        <v/>
      </c>
      <c r="C947" s="8"/>
      <c r="D947" s="8"/>
      <c r="I947" s="8"/>
      <c r="J947" s="8"/>
    </row>
    <row r="948">
      <c r="A948" s="8"/>
      <c r="B948" s="8" t="str">
        <f>IF(ISBLANK(A948),"",VLOOKUP(A948,DOI_URL!$B$1:$C$74,2,FALSE()))</f>
        <v/>
      </c>
      <c r="C948" s="8"/>
      <c r="D948" s="8"/>
      <c r="I948" s="8"/>
      <c r="J948" s="8"/>
    </row>
    <row r="949">
      <c r="A949" s="8"/>
      <c r="B949" s="8" t="str">
        <f>IF(ISBLANK(A949),"",VLOOKUP(A949,DOI_URL!$B$1:$C$74,2,FALSE()))</f>
        <v/>
      </c>
      <c r="C949" s="8"/>
      <c r="D949" s="8"/>
      <c r="I949" s="8"/>
      <c r="J949" s="8"/>
    </row>
    <row r="950">
      <c r="A950" s="8"/>
      <c r="B950" s="8" t="str">
        <f>IF(ISBLANK(A950),"",VLOOKUP(A950,DOI_URL!$B$1:$C$74,2,FALSE()))</f>
        <v/>
      </c>
      <c r="C950" s="8"/>
      <c r="D950" s="8"/>
      <c r="I950" s="8"/>
      <c r="J950" s="8"/>
    </row>
    <row r="951">
      <c r="A951" s="8"/>
      <c r="B951" s="8" t="str">
        <f>IF(ISBLANK(A951),"",VLOOKUP(A951,DOI_URL!$B$1:$C$74,2,FALSE()))</f>
        <v/>
      </c>
      <c r="C951" s="8"/>
      <c r="D951" s="8"/>
      <c r="I951" s="8"/>
      <c r="J951" s="8"/>
    </row>
    <row r="952">
      <c r="A952" s="8"/>
      <c r="B952" s="8" t="str">
        <f>IF(ISBLANK(A952),"",VLOOKUP(A952,DOI_URL!$B$1:$C$74,2,FALSE()))</f>
        <v/>
      </c>
      <c r="C952" s="8"/>
      <c r="D952" s="8"/>
      <c r="I952" s="8"/>
      <c r="J952" s="8"/>
    </row>
    <row r="953">
      <c r="A953" s="8"/>
      <c r="B953" s="8" t="str">
        <f>IF(ISBLANK(A953),"",VLOOKUP(A953,DOI_URL!$B$1:$C$74,2,FALSE()))</f>
        <v/>
      </c>
      <c r="C953" s="8"/>
      <c r="D953" s="8"/>
      <c r="I953" s="8"/>
      <c r="J953" s="8"/>
    </row>
    <row r="954">
      <c r="A954" s="8"/>
      <c r="B954" s="8" t="str">
        <f>IF(ISBLANK(A954),"",VLOOKUP(A954,DOI_URL!$B$1:$C$74,2,FALSE()))</f>
        <v/>
      </c>
      <c r="C954" s="8"/>
      <c r="D954" s="8"/>
      <c r="I954" s="8"/>
      <c r="J954" s="8"/>
    </row>
    <row r="955">
      <c r="A955" s="8"/>
      <c r="B955" s="8" t="str">
        <f>IF(ISBLANK(A955),"",VLOOKUP(A955,DOI_URL!$B$1:$C$74,2,FALSE()))</f>
        <v/>
      </c>
      <c r="C955" s="8"/>
      <c r="D955" s="8"/>
      <c r="I955" s="8"/>
      <c r="J955" s="8"/>
    </row>
    <row r="956">
      <c r="A956" s="8"/>
      <c r="B956" s="8" t="str">
        <f>IF(ISBLANK(A956),"",VLOOKUP(A956,DOI_URL!$B$1:$C$74,2,FALSE()))</f>
        <v/>
      </c>
      <c r="C956" s="8"/>
      <c r="D956" s="8"/>
      <c r="I956" s="8"/>
      <c r="J956" s="8"/>
    </row>
    <row r="957">
      <c r="A957" s="8"/>
      <c r="B957" s="8" t="str">
        <f>IF(ISBLANK(A957),"",VLOOKUP(A957,DOI_URL!$B$1:$C$74,2,FALSE()))</f>
        <v/>
      </c>
      <c r="C957" s="8"/>
      <c r="D957" s="8"/>
      <c r="I957" s="8"/>
      <c r="J957" s="8"/>
    </row>
    <row r="958">
      <c r="A958" s="8"/>
      <c r="B958" s="8" t="str">
        <f>IF(ISBLANK(A958),"",VLOOKUP(A958,DOI_URL!$B$1:$C$74,2,FALSE()))</f>
        <v/>
      </c>
      <c r="C958" s="8"/>
      <c r="D958" s="8"/>
      <c r="I958" s="8"/>
      <c r="J958" s="8"/>
    </row>
    <row r="959">
      <c r="A959" s="8"/>
      <c r="B959" s="8" t="str">
        <f>IF(ISBLANK(A959),"",VLOOKUP(A959,DOI_URL!$B$1:$C$74,2,FALSE()))</f>
        <v/>
      </c>
      <c r="C959" s="8"/>
      <c r="D959" s="8"/>
      <c r="I959" s="8"/>
      <c r="J959" s="8"/>
    </row>
    <row r="960">
      <c r="A960" s="8"/>
      <c r="B960" s="8" t="str">
        <f>IF(ISBLANK(A960),"",VLOOKUP(A960,DOI_URL!$B$1:$C$74,2,FALSE()))</f>
        <v/>
      </c>
      <c r="C960" s="8"/>
      <c r="D960" s="8"/>
      <c r="I960" s="8"/>
      <c r="J960" s="8"/>
    </row>
    <row r="961">
      <c r="A961" s="8"/>
      <c r="B961" s="8" t="str">
        <f>IF(ISBLANK(A961),"",VLOOKUP(A961,DOI_URL!$B$1:$C$74,2,FALSE()))</f>
        <v/>
      </c>
      <c r="C961" s="8"/>
      <c r="D961" s="8"/>
      <c r="I961" s="8"/>
      <c r="J961" s="8"/>
    </row>
    <row r="962">
      <c r="A962" s="8"/>
      <c r="B962" s="8" t="str">
        <f>IF(ISBLANK(A962),"",VLOOKUP(A962,DOI_URL!$B$1:$C$74,2,FALSE()))</f>
        <v/>
      </c>
      <c r="C962" s="8"/>
      <c r="D962" s="8"/>
      <c r="I962" s="8"/>
      <c r="J962" s="8"/>
    </row>
    <row r="963">
      <c r="A963" s="8"/>
      <c r="B963" s="8" t="str">
        <f>IF(ISBLANK(A963),"",VLOOKUP(A963,DOI_URL!$B$1:$C$74,2,FALSE()))</f>
        <v/>
      </c>
      <c r="C963" s="8"/>
      <c r="D963" s="8"/>
      <c r="I963" s="8"/>
      <c r="J963" s="8"/>
    </row>
    <row r="964">
      <c r="A964" s="8"/>
      <c r="B964" s="8" t="str">
        <f>IF(ISBLANK(A964),"",VLOOKUP(A964,DOI_URL!$B$1:$C$74,2,FALSE()))</f>
        <v/>
      </c>
      <c r="C964" s="8"/>
      <c r="D964" s="8"/>
      <c r="I964" s="8"/>
      <c r="J964" s="8"/>
    </row>
    <row r="965">
      <c r="A965" s="8"/>
      <c r="B965" s="8" t="str">
        <f>IF(ISBLANK(A965),"",VLOOKUP(A965,DOI_URL!$B$1:$C$74,2,FALSE()))</f>
        <v/>
      </c>
      <c r="C965" s="8"/>
      <c r="D965" s="8"/>
      <c r="I965" s="8"/>
      <c r="J965" s="8"/>
    </row>
    <row r="966">
      <c r="A966" s="8"/>
      <c r="B966" s="8" t="str">
        <f>IF(ISBLANK(A966),"",VLOOKUP(A966,DOI_URL!$B$1:$C$74,2,FALSE()))</f>
        <v/>
      </c>
      <c r="C966" s="8"/>
      <c r="D966" s="8"/>
      <c r="I966" s="8"/>
      <c r="J966" s="8"/>
    </row>
    <row r="967">
      <c r="A967" s="8"/>
      <c r="B967" s="8" t="str">
        <f>IF(ISBLANK(A967),"",VLOOKUP(A967,DOI_URL!$B$1:$C$74,2,FALSE()))</f>
        <v/>
      </c>
      <c r="C967" s="8"/>
      <c r="D967" s="8"/>
      <c r="I967" s="8"/>
      <c r="J967" s="8"/>
    </row>
    <row r="968">
      <c r="A968" s="8"/>
      <c r="B968" s="8" t="str">
        <f>IF(ISBLANK(A968),"",VLOOKUP(A968,DOI_URL!$B$1:$C$74,2,FALSE()))</f>
        <v/>
      </c>
      <c r="C968" s="8"/>
      <c r="D968" s="8"/>
      <c r="I968" s="8"/>
      <c r="J968" s="8"/>
    </row>
    <row r="969">
      <c r="A969" s="8"/>
      <c r="B969" s="8" t="str">
        <f>IF(ISBLANK(A969),"",VLOOKUP(A969,DOI_URL!$B$1:$C$74,2,FALSE()))</f>
        <v/>
      </c>
      <c r="C969" s="8"/>
      <c r="D969" s="8"/>
      <c r="I969" s="8"/>
      <c r="J969" s="8"/>
    </row>
    <row r="970">
      <c r="A970" s="8"/>
      <c r="B970" s="8" t="str">
        <f>IF(ISBLANK(A970),"",VLOOKUP(A970,DOI_URL!$B$1:$C$74,2,FALSE()))</f>
        <v/>
      </c>
      <c r="C970" s="8"/>
      <c r="D970" s="8"/>
      <c r="I970" s="8"/>
      <c r="J970" s="8"/>
    </row>
    <row r="971">
      <c r="A971" s="8"/>
      <c r="B971" s="8" t="str">
        <f>IF(ISBLANK(A971),"",VLOOKUP(A971,DOI_URL!$B$1:$C$74,2,FALSE()))</f>
        <v/>
      </c>
      <c r="C971" s="8"/>
      <c r="D971" s="8"/>
      <c r="I971" s="8"/>
      <c r="J971" s="8"/>
    </row>
    <row r="972">
      <c r="A972" s="8"/>
      <c r="B972" s="8" t="str">
        <f>IF(ISBLANK(A972),"",VLOOKUP(A972,DOI_URL!$B$1:$C$74,2,FALSE()))</f>
        <v/>
      </c>
      <c r="C972" s="8"/>
      <c r="D972" s="8"/>
      <c r="I972" s="8"/>
      <c r="J972" s="8"/>
    </row>
    <row r="973">
      <c r="A973" s="8"/>
      <c r="B973" s="8" t="str">
        <f>IF(ISBLANK(A973),"",VLOOKUP(A973,DOI_URL!$B$1:$C$74,2,FALSE()))</f>
        <v/>
      </c>
      <c r="C973" s="8"/>
      <c r="D973" s="8"/>
      <c r="I973" s="8"/>
      <c r="J973" s="8"/>
    </row>
    <row r="974">
      <c r="A974" s="8"/>
      <c r="B974" s="8" t="str">
        <f>IF(ISBLANK(A974),"",VLOOKUP(A974,DOI_URL!$B$1:$C$74,2,FALSE()))</f>
        <v/>
      </c>
      <c r="C974" s="8"/>
      <c r="D974" s="8"/>
      <c r="I974" s="8"/>
      <c r="J974" s="8"/>
    </row>
    <row r="975">
      <c r="A975" s="8"/>
      <c r="B975" s="8" t="str">
        <f>IF(ISBLANK(A975),"",VLOOKUP(A975,DOI_URL!$B$1:$C$74,2,FALSE()))</f>
        <v/>
      </c>
      <c r="C975" s="8"/>
      <c r="D975" s="8"/>
      <c r="I975" s="8"/>
      <c r="J975" s="8"/>
    </row>
    <row r="976">
      <c r="A976" s="8"/>
      <c r="B976" s="8" t="str">
        <f>IF(ISBLANK(A976),"",VLOOKUP(A976,DOI_URL!$B$1:$C$74,2,FALSE()))</f>
        <v/>
      </c>
      <c r="C976" s="8"/>
      <c r="D976" s="8"/>
      <c r="I976" s="8"/>
      <c r="J976" s="8"/>
    </row>
    <row r="977">
      <c r="A977" s="8"/>
      <c r="B977" s="8" t="str">
        <f>IF(ISBLANK(A977),"",VLOOKUP(A977,DOI_URL!$B$1:$C$74,2,FALSE()))</f>
        <v/>
      </c>
      <c r="C977" s="8"/>
      <c r="D977" s="8"/>
      <c r="I977" s="8"/>
      <c r="J977" s="8"/>
    </row>
    <row r="978">
      <c r="A978" s="8"/>
      <c r="B978" s="8" t="str">
        <f>IF(ISBLANK(A978),"",VLOOKUP(A978,DOI_URL!$B$1:$C$74,2,FALSE()))</f>
        <v/>
      </c>
      <c r="C978" s="8"/>
      <c r="D978" s="8"/>
      <c r="I978" s="8"/>
      <c r="J978" s="8"/>
    </row>
    <row r="979">
      <c r="A979" s="8"/>
      <c r="B979" s="8" t="str">
        <f>IF(ISBLANK(A979),"",VLOOKUP(A979,DOI_URL!$B$1:$C$74,2,FALSE()))</f>
        <v/>
      </c>
      <c r="C979" s="8"/>
      <c r="D979" s="8"/>
      <c r="I979" s="8"/>
      <c r="J979" s="8"/>
    </row>
    <row r="980">
      <c r="A980" s="8"/>
      <c r="B980" s="8" t="str">
        <f>IF(ISBLANK(A980),"",VLOOKUP(A980,DOI_URL!$B$1:$C$74,2,FALSE()))</f>
        <v/>
      </c>
      <c r="C980" s="8"/>
      <c r="D980" s="8"/>
      <c r="I980" s="8"/>
      <c r="J980" s="8"/>
    </row>
    <row r="981">
      <c r="A981" s="8"/>
      <c r="B981" s="8" t="str">
        <f>IF(ISBLANK(A981),"",VLOOKUP(A981,DOI_URL!$B$1:$C$74,2,FALSE()))</f>
        <v/>
      </c>
      <c r="C981" s="8"/>
      <c r="D981" s="8"/>
      <c r="I981" s="8"/>
      <c r="J981" s="8"/>
    </row>
    <row r="982">
      <c r="A982" s="8"/>
      <c r="B982" s="8" t="str">
        <f>IF(ISBLANK(A982),"",VLOOKUP(A982,DOI_URL!$B$1:$C$74,2,FALSE()))</f>
        <v/>
      </c>
      <c r="C982" s="8"/>
      <c r="D982" s="8"/>
      <c r="I982" s="8"/>
      <c r="J982" s="8"/>
    </row>
    <row r="983">
      <c r="A983" s="8"/>
      <c r="B983" s="8" t="str">
        <f>IF(ISBLANK(A983),"",VLOOKUP(A983,DOI_URL!$B$1:$C$74,2,FALSE()))</f>
        <v/>
      </c>
      <c r="C983" s="8"/>
      <c r="D983" s="8"/>
      <c r="I983" s="8"/>
      <c r="J983" s="8"/>
    </row>
    <row r="984">
      <c r="A984" s="8"/>
      <c r="B984" s="8" t="str">
        <f>IF(ISBLANK(A984),"",VLOOKUP(A984,DOI_URL!$B$1:$C$74,2,FALSE()))</f>
        <v/>
      </c>
      <c r="C984" s="8"/>
      <c r="D984" s="8"/>
      <c r="I984" s="8"/>
      <c r="J984" s="8"/>
    </row>
    <row r="985">
      <c r="A985" s="8"/>
      <c r="B985" s="8" t="str">
        <f>IF(ISBLANK(A985),"",VLOOKUP(A985,DOI_URL!$B$1:$C$74,2,FALSE()))</f>
        <v/>
      </c>
      <c r="C985" s="8"/>
      <c r="D985" s="8"/>
      <c r="I985" s="8"/>
      <c r="J985" s="8"/>
    </row>
    <row r="986">
      <c r="A986" s="8"/>
      <c r="B986" s="8" t="str">
        <f>IF(ISBLANK(A986),"",VLOOKUP(A986,DOI_URL!$B$1:$C$74,2,FALSE()))</f>
        <v/>
      </c>
      <c r="C986" s="8"/>
      <c r="D986" s="8"/>
      <c r="I986" s="8"/>
      <c r="J986" s="8"/>
    </row>
    <row r="987">
      <c r="A987" s="8"/>
      <c r="B987" s="8" t="str">
        <f>IF(ISBLANK(A987),"",VLOOKUP(A987,DOI_URL!$B$1:$C$74,2,FALSE()))</f>
        <v/>
      </c>
      <c r="C987" s="8"/>
      <c r="D987" s="8"/>
      <c r="I987" s="8"/>
      <c r="J987" s="8"/>
    </row>
    <row r="988">
      <c r="A988" s="8"/>
      <c r="B988" s="8" t="str">
        <f>IF(ISBLANK(A988),"",VLOOKUP(A988,DOI_URL!$B$1:$C$74,2,FALSE()))</f>
        <v/>
      </c>
      <c r="C988" s="8"/>
      <c r="D988" s="8"/>
      <c r="I988" s="8"/>
      <c r="J988" s="8"/>
    </row>
    <row r="989">
      <c r="A989" s="8"/>
      <c r="B989" s="8" t="str">
        <f>IF(ISBLANK(A989),"",VLOOKUP(A989,DOI_URL!$B$1:$C$74,2,FALSE()))</f>
        <v/>
      </c>
      <c r="C989" s="8"/>
      <c r="D989" s="8"/>
      <c r="I989" s="8"/>
      <c r="J989" s="8"/>
    </row>
    <row r="990">
      <c r="A990" s="8"/>
      <c r="B990" s="8" t="str">
        <f>IF(ISBLANK(A990),"",VLOOKUP(A990,DOI_URL!$B$1:$C$74,2,FALSE()))</f>
        <v/>
      </c>
      <c r="C990" s="8"/>
      <c r="D990" s="8"/>
      <c r="I990" s="8"/>
      <c r="J990" s="8"/>
    </row>
    <row r="991">
      <c r="A991" s="8"/>
      <c r="B991" s="8" t="str">
        <f>IF(ISBLANK(A991),"",VLOOKUP(A991,DOI_URL!$B$1:$C$74,2,FALSE()))</f>
        <v/>
      </c>
      <c r="C991" s="8"/>
      <c r="D991" s="8"/>
      <c r="I991" s="8"/>
      <c r="J991" s="8"/>
    </row>
    <row r="992">
      <c r="A992" s="8"/>
      <c r="B992" s="8" t="str">
        <f>IF(ISBLANK(A992),"",VLOOKUP(A992,DOI_URL!$B$1:$C$74,2,FALSE()))</f>
        <v/>
      </c>
      <c r="C992" s="8"/>
      <c r="D992" s="8"/>
      <c r="I992" s="8"/>
      <c r="J992" s="8"/>
    </row>
    <row r="993">
      <c r="A993" s="8"/>
      <c r="B993" s="8" t="str">
        <f>IF(ISBLANK(A993),"",VLOOKUP(A993,DOI_URL!$B$1:$C$74,2,FALSE()))</f>
        <v/>
      </c>
      <c r="C993" s="8"/>
      <c r="D993" s="8"/>
      <c r="I993" s="8"/>
      <c r="J993" s="8"/>
    </row>
    <row r="994">
      <c r="A994" s="8"/>
      <c r="B994" s="8" t="str">
        <f>IF(ISBLANK(A994),"",VLOOKUP(A994,DOI_URL!$B$1:$C$74,2,FALSE()))</f>
        <v/>
      </c>
      <c r="C994" s="8"/>
      <c r="D994" s="8"/>
      <c r="I994" s="8"/>
      <c r="J994" s="8"/>
    </row>
    <row r="995">
      <c r="A995" s="8"/>
      <c r="B995" s="8" t="str">
        <f>IF(ISBLANK(A995),"",VLOOKUP(A995,DOI_URL!$B$1:$C$74,2,FALSE()))</f>
        <v/>
      </c>
      <c r="C995" s="8"/>
      <c r="D995" s="8"/>
      <c r="I995" s="8"/>
      <c r="J995" s="8"/>
    </row>
    <row r="996">
      <c r="A996" s="8"/>
      <c r="B996" s="8" t="str">
        <f>IF(ISBLANK(A996),"",VLOOKUP(A996,DOI_URL!$B$1:$C$74,2,FALSE()))</f>
        <v/>
      </c>
      <c r="C996" s="8"/>
      <c r="D996" s="8"/>
      <c r="I996" s="8"/>
      <c r="J996" s="8"/>
    </row>
    <row r="997">
      <c r="A997" s="8"/>
      <c r="B997" s="8" t="str">
        <f>IF(ISBLANK(A997),"",VLOOKUP(A997,DOI_URL!$B$1:$C$74,2,FALSE()))</f>
        <v/>
      </c>
      <c r="C997" s="8"/>
      <c r="D997" s="8"/>
      <c r="I997" s="8"/>
      <c r="J997" s="8"/>
    </row>
    <row r="998">
      <c r="A998" s="8"/>
      <c r="B998" s="8" t="str">
        <f>IF(ISBLANK(A998),"",VLOOKUP(A998,DOI_URL!$B$1:$C$74,2,FALSE()))</f>
        <v/>
      </c>
      <c r="C998" s="8"/>
      <c r="D998" s="8"/>
      <c r="I998" s="8"/>
      <c r="J998" s="8"/>
    </row>
    <row r="999">
      <c r="A999" s="8"/>
      <c r="B999" s="8" t="str">
        <f>IF(ISBLANK(A999),"",VLOOKUP(A999,DOI_URL!$B$1:$C$74,2,FALSE()))</f>
        <v/>
      </c>
      <c r="C999" s="8"/>
      <c r="D999" s="8"/>
      <c r="I999" s="8"/>
      <c r="J999" s="8"/>
    </row>
    <row r="1000">
      <c r="A1000" s="8"/>
      <c r="B1000" s="8" t="str">
        <f>IF(ISBLANK(A1000),"",VLOOKUP(A1000,DOI_URL!$B$1:$C$74,2,FALSE()))</f>
        <v/>
      </c>
      <c r="C1000" s="8"/>
      <c r="D1000" s="8"/>
      <c r="I1000" s="8"/>
      <c r="J1000" s="8"/>
    </row>
    <row r="1001">
      <c r="A1001" s="8"/>
      <c r="B1001" s="8" t="str">
        <f>IF(ISBLANK(A1001),"",VLOOKUP(A1001,DOI_URL!$B$1:$C$74,2,FALSE()))</f>
        <v/>
      </c>
      <c r="C1001" s="8"/>
      <c r="D1001" s="8"/>
      <c r="I1001" s="8"/>
      <c r="J1001" s="8"/>
    </row>
    <row r="1002">
      <c r="A1002" s="8"/>
      <c r="B1002" s="8" t="str">
        <f>IF(ISBLANK(A1002),"",VLOOKUP(A1002,DOI_URL!$B$1:$C$74,2,FALSE()))</f>
        <v/>
      </c>
      <c r="C1002" s="8"/>
      <c r="D1002" s="8"/>
      <c r="I1002" s="8"/>
      <c r="J1002" s="8"/>
    </row>
    <row r="1003">
      <c r="A1003" s="8"/>
      <c r="B1003" s="8" t="str">
        <f>IF(ISBLANK(A1003),"",VLOOKUP(A1003,DOI_URL!$B$1:$C$74,2,FALSE()))</f>
        <v/>
      </c>
      <c r="C1003" s="8"/>
      <c r="D1003" s="8"/>
      <c r="I1003" s="8"/>
      <c r="J1003" s="8"/>
    </row>
    <row r="1004">
      <c r="A1004" s="8"/>
      <c r="B1004" s="8" t="str">
        <f>IF(ISBLANK(A1004),"",VLOOKUP(A1004,DOI_URL!$B$1:$C$74,2,FALSE()))</f>
        <v/>
      </c>
      <c r="C1004" s="8"/>
      <c r="D1004" s="8"/>
      <c r="I1004" s="8"/>
      <c r="J1004" s="8"/>
    </row>
    <row r="1005">
      <c r="A1005" s="8"/>
      <c r="B1005" s="8" t="str">
        <f>IF(ISBLANK(A1005),"",VLOOKUP(A1005,DOI_URL!$B$1:$C$74,2,FALSE()))</f>
        <v/>
      </c>
      <c r="C1005" s="8"/>
      <c r="D1005" s="8"/>
      <c r="I1005" s="8"/>
      <c r="J1005" s="8"/>
    </row>
    <row r="1006">
      <c r="A1006" s="8"/>
      <c r="B1006" s="8" t="str">
        <f>IF(ISBLANK(A1006),"",VLOOKUP(A1006,DOI_URL!$B$1:$C$74,2,FALSE()))</f>
        <v/>
      </c>
      <c r="C1006" s="8"/>
      <c r="D1006" s="8"/>
      <c r="I1006" s="8"/>
      <c r="J1006" s="8"/>
    </row>
    <row r="1007">
      <c r="A1007" s="8"/>
      <c r="B1007" s="8" t="str">
        <f>IF(ISBLANK(A1007),"",VLOOKUP(A1007,DOI_URL!$B$1:$C$74,2,FALSE()))</f>
        <v/>
      </c>
      <c r="C1007" s="8"/>
      <c r="D1007" s="8"/>
      <c r="I1007" s="8"/>
      <c r="J1007" s="8"/>
    </row>
    <row r="1008">
      <c r="A1008" s="8"/>
      <c r="B1008" s="8" t="str">
        <f>IF(ISBLANK(A1008),"",VLOOKUP(A1008,DOI_URL!$B$1:$C$74,2,FALSE()))</f>
        <v/>
      </c>
      <c r="C1008" s="8"/>
      <c r="D1008" s="8"/>
      <c r="I1008" s="8"/>
      <c r="J1008" s="8"/>
    </row>
    <row r="1009">
      <c r="A1009" s="8"/>
      <c r="B1009" s="8" t="str">
        <f>IF(ISBLANK(A1009),"",VLOOKUP(A1009,DOI_URL!$B$1:$C$74,2,FALSE()))</f>
        <v/>
      </c>
      <c r="C1009" s="8"/>
      <c r="D1009" s="8"/>
      <c r="I1009" s="8"/>
      <c r="J1009" s="8"/>
    </row>
    <row r="1010">
      <c r="A1010" s="8"/>
      <c r="B1010" s="8" t="str">
        <f>IF(ISBLANK(A1010),"",VLOOKUP(A1010,DOI_URL!$B$1:$C$74,2,FALSE()))</f>
        <v/>
      </c>
      <c r="C1010" s="8"/>
      <c r="D1010" s="8"/>
      <c r="I1010" s="8"/>
      <c r="J1010" s="8"/>
    </row>
    <row r="1011">
      <c r="A1011" s="8"/>
      <c r="B1011" s="8" t="str">
        <f>IF(ISBLANK(A1011),"",VLOOKUP(A1011,DOI_URL!$B$1:$C$74,2,FALSE()))</f>
        <v/>
      </c>
      <c r="C1011" s="8"/>
      <c r="D1011" s="8"/>
      <c r="I1011" s="8"/>
      <c r="J1011" s="8"/>
    </row>
    <row r="1012">
      <c r="A1012" s="8"/>
      <c r="B1012" s="8" t="str">
        <f>IF(ISBLANK(A1012),"",VLOOKUP(A1012,DOI_URL!$B$1:$C$74,2,FALSE()))</f>
        <v/>
      </c>
      <c r="C1012" s="8"/>
      <c r="D1012" s="8"/>
      <c r="I1012" s="8"/>
      <c r="J1012" s="8"/>
    </row>
    <row r="1013">
      <c r="A1013" s="8"/>
      <c r="B1013" s="8" t="str">
        <f>IF(ISBLANK(A1013),"",VLOOKUP(A1013,DOI_URL!$B$1:$C$74,2,FALSE()))</f>
        <v/>
      </c>
      <c r="C1013" s="8"/>
      <c r="D1013" s="8"/>
      <c r="I1013" s="8"/>
      <c r="J1013" s="8"/>
    </row>
    <row r="1014">
      <c r="A1014" s="8"/>
      <c r="B1014" s="8" t="str">
        <f>IF(ISBLANK(A1014),"",VLOOKUP(A1014,DOI_URL!$B$1:$C$74,2,FALSE()))</f>
        <v/>
      </c>
      <c r="C1014" s="8"/>
      <c r="D1014" s="8"/>
      <c r="I1014" s="8"/>
      <c r="J1014" s="8"/>
    </row>
    <row r="1015">
      <c r="A1015" s="8"/>
      <c r="B1015" s="8" t="str">
        <f>IF(ISBLANK(A1015),"",VLOOKUP(A1015,DOI_URL!$B$1:$C$74,2,FALSE()))</f>
        <v/>
      </c>
      <c r="C1015" s="8"/>
      <c r="D1015" s="8"/>
      <c r="I1015" s="8"/>
      <c r="J1015" s="8"/>
    </row>
    <row r="1016">
      <c r="A1016" s="8"/>
      <c r="B1016" s="8" t="str">
        <f>IF(ISBLANK(A1016),"",VLOOKUP(A1016,DOI_URL!$B$1:$C$74,2,FALSE()))</f>
        <v/>
      </c>
      <c r="C1016" s="8"/>
      <c r="D1016" s="8"/>
      <c r="I1016" s="8"/>
      <c r="J1016" s="8"/>
    </row>
    <row r="1017">
      <c r="A1017" s="8"/>
      <c r="B1017" s="8" t="str">
        <f>IF(ISBLANK(A1017),"",VLOOKUP(A1017,DOI_URL!$B$1:$C$74,2,FALSE()))</f>
        <v/>
      </c>
      <c r="C1017" s="8"/>
      <c r="D1017" s="8"/>
      <c r="I1017" s="8"/>
      <c r="J1017" s="8"/>
    </row>
    <row r="1018">
      <c r="A1018" s="8"/>
      <c r="B1018" s="8" t="str">
        <f>IF(ISBLANK(A1018),"",VLOOKUP(A1018,DOI_URL!$B$1:$C$74,2,FALSE()))</f>
        <v/>
      </c>
      <c r="C1018" s="8"/>
      <c r="D1018" s="8"/>
      <c r="I1018" s="8"/>
      <c r="J1018" s="8"/>
    </row>
    <row r="1019">
      <c r="A1019" s="8"/>
      <c r="B1019" s="8" t="str">
        <f>IF(ISBLANK(A1019),"",VLOOKUP(A1019,DOI_URL!$B$1:$C$74,2,FALSE()))</f>
        <v/>
      </c>
      <c r="C1019" s="8"/>
      <c r="D1019" s="8"/>
      <c r="I1019" s="8"/>
      <c r="J1019" s="8"/>
    </row>
    <row r="1020">
      <c r="A1020" s="8"/>
      <c r="B1020" s="8" t="str">
        <f>IF(ISBLANK(A1020),"",VLOOKUP(A1020,DOI_URL!$B$1:$C$74,2,FALSE()))</f>
        <v/>
      </c>
      <c r="C1020" s="8"/>
      <c r="D1020" s="8"/>
      <c r="I1020" s="8"/>
      <c r="J1020" s="8"/>
    </row>
    <row r="1021">
      <c r="A1021" s="8"/>
      <c r="B1021" s="8" t="str">
        <f>IF(ISBLANK(A1021),"",VLOOKUP(A1021,DOI_URL!$B$1:$C$74,2,FALSE()))</f>
        <v/>
      </c>
      <c r="C1021" s="8"/>
      <c r="D1021" s="8"/>
      <c r="I1021" s="8"/>
      <c r="J1021" s="8"/>
    </row>
    <row r="1022">
      <c r="A1022" s="8"/>
      <c r="B1022" s="8" t="str">
        <f>IF(ISBLANK(A1022),"",VLOOKUP(A1022,DOI_URL!$B$1:$C$74,2,FALSE()))</f>
        <v/>
      </c>
      <c r="C1022" s="8"/>
      <c r="D1022" s="8"/>
      <c r="I1022" s="8"/>
      <c r="J1022" s="8"/>
    </row>
    <row r="1023">
      <c r="A1023" s="8"/>
      <c r="B1023" s="8" t="str">
        <f>IF(ISBLANK(A1023),"",VLOOKUP(A1023,DOI_URL!$B$1:$C$74,2,FALSE()))</f>
        <v/>
      </c>
      <c r="C1023" s="8"/>
      <c r="D1023" s="8"/>
      <c r="I1023" s="8"/>
      <c r="J1023" s="8"/>
    </row>
    <row r="1024">
      <c r="A1024" s="8"/>
      <c r="B1024" s="8" t="str">
        <f>IF(ISBLANK(A1024),"",VLOOKUP(A1024,DOI_URL!$B$1:$C$74,2,FALSE()))</f>
        <v/>
      </c>
      <c r="C1024" s="8"/>
      <c r="D1024" s="8"/>
      <c r="I1024" s="8"/>
      <c r="J1024" s="8"/>
    </row>
    <row r="1025">
      <c r="A1025" s="8"/>
      <c r="B1025" s="8" t="str">
        <f>IF(ISBLANK(A1025),"",VLOOKUP(A1025,DOI_URL!$B$1:$C$74,2,FALSE()))</f>
        <v/>
      </c>
      <c r="C1025" s="8"/>
      <c r="D1025" s="8"/>
      <c r="I1025" s="8"/>
      <c r="J1025" s="8"/>
    </row>
    <row r="1026">
      <c r="A1026" s="8"/>
      <c r="B1026" s="8" t="str">
        <f>IF(ISBLANK(A1026),"",VLOOKUP(A1026,DOI_URL!$B$1:$C$74,2,FALSE()))</f>
        <v/>
      </c>
      <c r="C1026" s="8"/>
      <c r="D1026" s="8"/>
      <c r="I1026" s="8"/>
      <c r="J1026" s="8"/>
    </row>
    <row r="1027">
      <c r="A1027" s="8"/>
      <c r="B1027" s="8" t="str">
        <f>IF(ISBLANK(A1027),"",VLOOKUP(A1027,DOI_URL!$B$1:$C$74,2,FALSE()))</f>
        <v/>
      </c>
      <c r="C1027" s="8"/>
      <c r="D1027" s="8"/>
      <c r="I1027" s="8"/>
      <c r="J1027" s="8"/>
    </row>
    <row r="1028">
      <c r="A1028" s="8"/>
      <c r="B1028" s="8" t="str">
        <f>IF(ISBLANK(A1028),"",VLOOKUP(A1028,DOI_URL!$B$1:$C$74,2,FALSE()))</f>
        <v/>
      </c>
      <c r="C1028" s="8"/>
      <c r="D1028" s="8"/>
      <c r="I1028" s="8"/>
      <c r="J1028" s="8"/>
    </row>
    <row r="1029">
      <c r="A1029" s="8"/>
      <c r="B1029" s="8" t="str">
        <f>IF(ISBLANK(A1029),"",VLOOKUP(A1029,DOI_URL!$B$1:$C$74,2,FALSE()))</f>
        <v/>
      </c>
      <c r="C1029" s="8"/>
      <c r="D1029" s="8"/>
      <c r="I1029" s="8"/>
      <c r="J1029" s="8"/>
    </row>
    <row r="1030">
      <c r="A1030" s="8"/>
      <c r="B1030" s="8" t="str">
        <f>IF(ISBLANK(A1030),"",VLOOKUP(A1030,DOI_URL!$B$1:$C$74,2,FALSE()))</f>
        <v/>
      </c>
      <c r="C1030" s="8"/>
      <c r="D1030" s="8"/>
      <c r="I1030" s="8"/>
      <c r="J1030" s="8"/>
    </row>
    <row r="1031">
      <c r="A1031" s="8"/>
      <c r="B1031" s="8" t="str">
        <f>IF(ISBLANK(A1031),"",VLOOKUP(A1031,DOI_URL!$B$1:$C$74,2,FALSE()))</f>
        <v/>
      </c>
      <c r="C1031" s="8"/>
      <c r="D1031" s="8"/>
      <c r="I1031" s="8"/>
      <c r="J1031" s="8"/>
    </row>
    <row r="1032">
      <c r="A1032" s="8"/>
      <c r="B1032" s="8" t="str">
        <f>IF(ISBLANK(A1032),"",VLOOKUP(A1032,DOI_URL!$B$1:$C$74,2,FALSE()))</f>
        <v/>
      </c>
      <c r="C1032" s="8"/>
      <c r="D1032" s="8"/>
      <c r="I1032" s="8"/>
      <c r="J1032" s="8"/>
    </row>
    <row r="1033">
      <c r="A1033" s="8"/>
      <c r="B1033" s="8" t="str">
        <f>IF(ISBLANK(A1033),"",VLOOKUP(A1033,DOI_URL!$B$1:$C$74,2,FALSE()))</f>
        <v/>
      </c>
      <c r="C1033" s="8"/>
      <c r="D1033" s="8"/>
      <c r="I1033" s="8"/>
      <c r="J1033" s="8"/>
    </row>
    <row r="1034">
      <c r="A1034" s="8"/>
      <c r="B1034" s="8" t="str">
        <f>IF(ISBLANK(A1034),"",VLOOKUP(A1034,DOI_URL!$B$1:$C$74,2,FALSE()))</f>
        <v/>
      </c>
      <c r="C1034" s="8"/>
      <c r="D1034" s="8"/>
      <c r="I1034" s="8"/>
      <c r="J1034" s="8"/>
    </row>
    <row r="1035">
      <c r="A1035" s="8"/>
      <c r="B1035" s="8" t="str">
        <f>IF(ISBLANK(A1035),"",VLOOKUP(A1035,DOI_URL!$B$1:$C$74,2,FALSE()))</f>
        <v/>
      </c>
      <c r="C1035" s="8"/>
      <c r="D1035" s="8"/>
      <c r="I1035" s="8"/>
      <c r="J1035" s="8"/>
    </row>
    <row r="1036">
      <c r="A1036" s="8"/>
      <c r="B1036" s="8" t="str">
        <f>IF(ISBLANK(A1036),"",VLOOKUP(A1036,DOI_URL!$B$1:$C$74,2,FALSE()))</f>
        <v/>
      </c>
      <c r="C1036" s="8"/>
      <c r="D1036" s="8"/>
      <c r="I1036" s="8"/>
      <c r="J1036" s="8"/>
    </row>
    <row r="1037">
      <c r="A1037" s="8"/>
      <c r="B1037" s="8" t="str">
        <f>IF(ISBLANK(A1037),"",VLOOKUP(A1037,DOI_URL!$B$1:$C$74,2,FALSE()))</f>
        <v/>
      </c>
      <c r="C1037" s="8"/>
      <c r="D1037" s="8"/>
      <c r="I1037" s="8"/>
      <c r="J1037" s="8"/>
    </row>
    <row r="1038">
      <c r="A1038" s="8"/>
      <c r="B1038" s="8" t="str">
        <f>IF(ISBLANK(A1038),"",VLOOKUP(A1038,DOI_URL!$B$1:$C$74,2,FALSE()))</f>
        <v/>
      </c>
      <c r="C1038" s="8"/>
      <c r="D1038" s="8"/>
      <c r="I1038" s="8"/>
      <c r="J1038" s="8"/>
    </row>
    <row r="1039">
      <c r="A1039" s="8"/>
      <c r="B1039" s="8" t="str">
        <f>IF(ISBLANK(A1039),"",VLOOKUP(A1039,DOI_URL!$B$1:$C$74,2,FALSE()))</f>
        <v/>
      </c>
      <c r="C1039" s="8"/>
      <c r="D1039" s="8"/>
      <c r="I1039" s="8"/>
      <c r="J1039" s="8"/>
    </row>
    <row r="1040">
      <c r="A1040" s="8"/>
      <c r="B1040" s="8" t="str">
        <f>IF(ISBLANK(A1040),"",VLOOKUP(A1040,DOI_URL!$B$1:$C$74,2,FALSE()))</f>
        <v/>
      </c>
      <c r="C1040" s="8"/>
      <c r="D1040" s="8"/>
      <c r="I1040" s="8"/>
      <c r="J1040" s="8"/>
    </row>
    <row r="1041">
      <c r="A1041" s="8"/>
      <c r="B1041" s="8" t="str">
        <f>IF(ISBLANK(A1041),"",VLOOKUP(A1041,DOI_URL!$B$1:$C$74,2,FALSE()))</f>
        <v/>
      </c>
      <c r="C1041" s="8"/>
      <c r="D1041" s="8"/>
      <c r="I1041" s="8"/>
      <c r="J1041" s="8"/>
    </row>
    <row r="1042">
      <c r="A1042" s="8"/>
      <c r="B1042" s="8" t="str">
        <f>IF(ISBLANK(A1042),"",VLOOKUP(A1042,DOI_URL!$B$1:$C$74,2,FALSE()))</f>
        <v/>
      </c>
      <c r="C1042" s="8"/>
      <c r="D1042" s="8"/>
      <c r="I1042" s="8"/>
      <c r="J1042" s="8"/>
    </row>
    <row r="1043">
      <c r="A1043" s="8"/>
      <c r="B1043" s="8" t="str">
        <f>IF(ISBLANK(A1043),"",VLOOKUP(A1043,DOI_URL!$B$1:$C$74,2,FALSE()))</f>
        <v/>
      </c>
      <c r="C1043" s="8"/>
      <c r="D1043" s="8"/>
      <c r="I1043" s="8"/>
      <c r="J1043" s="8"/>
    </row>
    <row r="1044">
      <c r="A1044" s="8"/>
      <c r="B1044" s="8" t="str">
        <f>IF(ISBLANK(A1044),"",VLOOKUP(A1044,DOI_URL!$B$1:$C$74,2,FALSE()))</f>
        <v/>
      </c>
      <c r="C1044" s="8"/>
      <c r="D1044" s="8"/>
      <c r="I1044" s="8"/>
      <c r="J1044" s="8"/>
    </row>
    <row r="1045">
      <c r="A1045" s="8"/>
      <c r="B1045" s="8" t="str">
        <f>IF(ISBLANK(A1045),"",VLOOKUP(A1045,DOI_URL!$B$1:$C$74,2,FALSE()))</f>
        <v/>
      </c>
      <c r="C1045" s="8"/>
      <c r="D1045" s="8"/>
      <c r="I1045" s="8"/>
      <c r="J1045" s="8"/>
    </row>
    <row r="1046">
      <c r="A1046" s="8"/>
      <c r="B1046" s="8" t="str">
        <f>IF(ISBLANK(A1046),"",VLOOKUP(A1046,DOI_URL!$B$1:$C$74,2,FALSE()))</f>
        <v/>
      </c>
      <c r="C1046" s="8"/>
      <c r="D1046" s="8"/>
      <c r="I1046" s="8"/>
      <c r="J1046" s="8"/>
    </row>
    <row r="1047">
      <c r="A1047" s="8"/>
      <c r="B1047" s="8" t="str">
        <f>IF(ISBLANK(A1047),"",VLOOKUP(A1047,DOI_URL!$B$1:$C$74,2,FALSE()))</f>
        <v/>
      </c>
      <c r="C1047" s="8"/>
      <c r="D1047" s="8"/>
      <c r="I1047" s="8"/>
      <c r="J1047" s="8"/>
    </row>
    <row r="1048">
      <c r="A1048" s="8"/>
      <c r="B1048" s="8" t="str">
        <f>IF(ISBLANK(A1048),"",VLOOKUP(A1048,DOI_URL!$B$1:$C$74,2,FALSE()))</f>
        <v/>
      </c>
      <c r="C1048" s="8"/>
      <c r="D1048" s="8"/>
      <c r="I1048" s="8"/>
      <c r="J1048" s="8"/>
    </row>
    <row r="1049">
      <c r="A1049" s="8"/>
      <c r="B1049" s="8" t="str">
        <f>IF(ISBLANK(A1049),"",VLOOKUP(A1049,DOI_URL!$B$1:$C$74,2,FALSE()))</f>
        <v/>
      </c>
      <c r="C1049" s="8"/>
      <c r="D1049" s="8"/>
      <c r="I1049" s="8"/>
      <c r="J1049" s="8"/>
    </row>
    <row r="1050">
      <c r="A1050" s="8"/>
      <c r="B1050" s="8" t="str">
        <f>IF(ISBLANK(A1050),"",VLOOKUP(A1050,DOI_URL!$B$1:$C$74,2,FALSE()))</f>
        <v/>
      </c>
      <c r="C1050" s="8"/>
      <c r="D1050" s="8"/>
      <c r="I1050" s="8"/>
      <c r="J1050" s="8"/>
    </row>
    <row r="1051">
      <c r="A1051" s="8"/>
      <c r="B1051" s="8" t="str">
        <f>IF(ISBLANK(A1051),"",VLOOKUP(A1051,DOI_URL!$B$1:$C$74,2,FALSE()))</f>
        <v/>
      </c>
      <c r="C1051" s="8"/>
      <c r="D1051" s="8"/>
      <c r="I1051" s="8"/>
      <c r="J1051" s="8"/>
    </row>
    <row r="1052">
      <c r="A1052" s="8"/>
      <c r="B1052" s="8" t="str">
        <f>IF(ISBLANK(A1052),"",VLOOKUP(A1052,DOI_URL!$B$1:$C$74,2,FALSE()))</f>
        <v/>
      </c>
      <c r="C1052" s="8"/>
      <c r="D1052" s="8"/>
      <c r="I1052" s="8"/>
      <c r="J1052" s="8"/>
    </row>
    <row r="1053">
      <c r="A1053" s="8"/>
      <c r="B1053" s="8" t="str">
        <f>IF(ISBLANK(A1053),"",VLOOKUP(A1053,DOI_URL!$B$1:$C$74,2,FALSE()))</f>
        <v/>
      </c>
      <c r="C1053" s="8"/>
      <c r="D1053" s="8"/>
      <c r="I1053" s="8"/>
      <c r="J1053" s="8"/>
    </row>
    <row r="1054">
      <c r="A1054" s="8"/>
      <c r="B1054" s="8" t="str">
        <f>IF(ISBLANK(A1054),"",VLOOKUP(A1054,DOI_URL!$B$1:$C$74,2,FALSE()))</f>
        <v/>
      </c>
      <c r="C1054" s="8"/>
      <c r="D1054" s="8"/>
      <c r="I1054" s="8"/>
      <c r="J1054" s="8"/>
    </row>
    <row r="1055">
      <c r="A1055" s="8"/>
      <c r="B1055" s="8" t="str">
        <f>IF(ISBLANK(A1055),"",VLOOKUP(A1055,DOI_URL!$B$1:$C$74,2,FALSE()))</f>
        <v/>
      </c>
      <c r="C1055" s="8"/>
      <c r="D1055" s="8"/>
      <c r="I1055" s="8"/>
      <c r="J1055" s="8"/>
    </row>
    <row r="1056">
      <c r="A1056" s="8"/>
      <c r="B1056" s="8" t="str">
        <f>IF(ISBLANK(A1056),"",VLOOKUP(A1056,DOI_URL!$B$1:$C$74,2,FALSE()))</f>
        <v/>
      </c>
      <c r="C1056" s="8"/>
      <c r="D1056" s="8"/>
      <c r="I1056" s="8"/>
      <c r="J1056" s="8"/>
    </row>
    <row r="1057">
      <c r="A1057" s="8"/>
      <c r="B1057" s="8" t="str">
        <f>IF(ISBLANK(A1057),"",VLOOKUP(A1057,DOI_URL!$B$1:$C$74,2,FALSE()))</f>
        <v/>
      </c>
      <c r="C1057" s="8"/>
      <c r="D1057" s="8"/>
      <c r="I1057" s="8"/>
      <c r="J1057" s="8"/>
    </row>
    <row r="1058">
      <c r="A1058" s="8"/>
      <c r="B1058" s="8" t="str">
        <f>IF(ISBLANK(A1058),"",VLOOKUP(A1058,DOI_URL!$B$1:$C$74,2,FALSE()))</f>
        <v/>
      </c>
      <c r="C1058" s="8"/>
      <c r="D1058" s="8"/>
      <c r="I1058" s="8"/>
      <c r="J1058" s="8"/>
    </row>
    <row r="1059">
      <c r="A1059" s="8"/>
      <c r="B1059" s="8" t="str">
        <f>IF(ISBLANK(A1059),"",VLOOKUP(A1059,DOI_URL!$B$1:$C$74,2,FALSE()))</f>
        <v/>
      </c>
      <c r="C1059" s="8"/>
      <c r="D1059" s="8"/>
      <c r="I1059" s="8"/>
      <c r="J1059" s="8"/>
    </row>
    <row r="1060">
      <c r="A1060" s="8"/>
      <c r="B1060" s="8" t="str">
        <f>IF(ISBLANK(A1060),"",VLOOKUP(A1060,DOI_URL!$B$1:$C$74,2,FALSE()))</f>
        <v/>
      </c>
      <c r="C1060" s="8"/>
      <c r="D1060" s="8"/>
      <c r="I1060" s="8"/>
      <c r="J1060" s="8"/>
    </row>
    <row r="1061">
      <c r="A1061" s="8"/>
      <c r="B1061" s="8" t="str">
        <f>IF(ISBLANK(A1061),"",VLOOKUP(A1061,DOI_URL!$B$1:$C$74,2,FALSE()))</f>
        <v/>
      </c>
      <c r="C1061" s="8"/>
      <c r="D1061" s="8"/>
      <c r="I1061" s="8"/>
      <c r="J1061" s="8"/>
    </row>
    <row r="1062">
      <c r="A1062" s="8"/>
      <c r="B1062" s="8" t="str">
        <f>IF(ISBLANK(A1062),"",VLOOKUP(A1062,DOI_URL!$B$1:$C$74,2,FALSE()))</f>
        <v/>
      </c>
      <c r="C1062" s="8"/>
      <c r="D1062" s="8"/>
      <c r="I1062" s="8"/>
      <c r="J1062" s="8"/>
    </row>
    <row r="1063">
      <c r="A1063" s="8"/>
      <c r="B1063" s="8" t="str">
        <f>IF(ISBLANK(A1063),"",VLOOKUP(A1063,DOI_URL!$B$1:$C$74,2,FALSE()))</f>
        <v/>
      </c>
      <c r="C1063" s="8"/>
      <c r="D1063" s="8"/>
      <c r="I1063" s="8"/>
      <c r="J1063" s="8"/>
    </row>
    <row r="1064">
      <c r="A1064" s="8"/>
      <c r="B1064" s="8" t="str">
        <f>IF(ISBLANK(A1064),"",VLOOKUP(A1064,DOI_URL!$B$1:$C$74,2,FALSE()))</f>
        <v/>
      </c>
      <c r="C1064" s="8"/>
      <c r="D1064" s="8"/>
      <c r="I1064" s="8"/>
      <c r="J1064" s="8"/>
    </row>
    <row r="1065">
      <c r="A1065" s="8"/>
      <c r="B1065" s="8" t="str">
        <f>IF(ISBLANK(A1065),"",VLOOKUP(A1065,DOI_URL!$B$1:$C$74,2,FALSE()))</f>
        <v/>
      </c>
      <c r="C1065" s="8"/>
      <c r="D1065" s="8"/>
      <c r="I1065" s="8"/>
      <c r="J1065" s="8"/>
    </row>
    <row r="1066">
      <c r="A1066" s="8"/>
      <c r="B1066" s="8" t="str">
        <f>IF(ISBLANK(A1066),"",VLOOKUP(A1066,DOI_URL!$B$1:$C$74,2,FALSE()))</f>
        <v/>
      </c>
      <c r="C1066" s="8"/>
      <c r="D1066" s="8"/>
      <c r="I1066" s="8"/>
      <c r="J1066" s="8"/>
    </row>
    <row r="1067">
      <c r="A1067" s="8"/>
      <c r="B1067" s="8" t="str">
        <f>IF(ISBLANK(A1067),"",VLOOKUP(A1067,DOI_URL!$B$1:$C$74,2,FALSE()))</f>
        <v/>
      </c>
      <c r="C1067" s="8"/>
      <c r="D1067" s="8"/>
      <c r="I1067" s="8"/>
      <c r="J1067" s="8"/>
    </row>
    <row r="1068">
      <c r="A1068" s="8"/>
      <c r="B1068" s="8" t="str">
        <f>IF(ISBLANK(A1068),"",VLOOKUP(A1068,DOI_URL!$B$1:$C$74,2,FALSE()))</f>
        <v/>
      </c>
      <c r="C1068" s="8"/>
      <c r="D1068" s="8"/>
      <c r="I1068" s="8"/>
      <c r="J1068" s="8"/>
    </row>
    <row r="1069">
      <c r="A1069" s="8"/>
      <c r="B1069" s="8" t="str">
        <f>IF(ISBLANK(A1069),"",VLOOKUP(A1069,DOI_URL!$B$1:$C$74,2,FALSE()))</f>
        <v/>
      </c>
      <c r="C1069" s="8"/>
      <c r="D1069" s="8"/>
      <c r="I1069" s="8"/>
      <c r="J1069" s="8"/>
    </row>
    <row r="1070">
      <c r="A1070" s="8"/>
      <c r="B1070" s="8" t="str">
        <f>IF(ISBLANK(A1070),"",VLOOKUP(A1070,DOI_URL!$B$1:$C$74,2,FALSE()))</f>
        <v/>
      </c>
      <c r="C1070" s="8"/>
      <c r="D1070" s="8"/>
      <c r="I1070" s="8"/>
      <c r="J1070" s="8"/>
    </row>
    <row r="1071">
      <c r="A1071" s="8"/>
      <c r="B1071" s="8" t="str">
        <f>IF(ISBLANK(A1071),"",VLOOKUP(A1071,DOI_URL!$B$1:$C$74,2,FALSE()))</f>
        <v/>
      </c>
      <c r="C1071" s="8"/>
      <c r="D1071" s="8"/>
      <c r="I1071" s="8"/>
      <c r="J1071" s="8"/>
    </row>
    <row r="1072">
      <c r="A1072" s="8"/>
      <c r="B1072" s="8" t="str">
        <f>IF(ISBLANK(A1072),"",VLOOKUP(A1072,DOI_URL!$B$1:$C$74,2,FALSE()))</f>
        <v/>
      </c>
      <c r="C1072" s="8"/>
      <c r="D1072" s="8"/>
      <c r="I1072" s="8"/>
      <c r="J1072" s="8"/>
    </row>
    <row r="1073">
      <c r="A1073" s="8"/>
      <c r="B1073" s="8" t="str">
        <f>IF(ISBLANK(A1073),"",VLOOKUP(A1073,DOI_URL!$B$1:$C$74,2,FALSE()))</f>
        <v/>
      </c>
      <c r="C1073" s="8"/>
      <c r="D1073" s="8"/>
      <c r="I1073" s="8"/>
      <c r="J1073" s="8"/>
    </row>
    <row r="1074">
      <c r="A1074" s="8"/>
      <c r="B1074" s="8" t="str">
        <f>IF(ISBLANK(A1074),"",VLOOKUP(A1074,DOI_URL!$B$1:$C$74,2,FALSE()))</f>
        <v/>
      </c>
      <c r="C1074" s="8"/>
      <c r="D1074" s="8"/>
      <c r="I1074" s="8"/>
      <c r="J1074" s="8"/>
    </row>
    <row r="1075">
      <c r="A1075" s="8"/>
      <c r="B1075" s="8" t="str">
        <f>IF(ISBLANK(A1075),"",VLOOKUP(A1075,DOI_URL!$B$1:$C$74,2,FALSE()))</f>
        <v/>
      </c>
      <c r="C1075" s="8"/>
      <c r="D1075" s="8"/>
      <c r="I1075" s="8"/>
      <c r="J1075" s="8"/>
    </row>
    <row r="1076">
      <c r="A1076" s="8"/>
      <c r="B1076" s="8" t="str">
        <f>IF(ISBLANK(A1076),"",VLOOKUP(A1076,DOI_URL!$B$1:$C$74,2,FALSE()))</f>
        <v/>
      </c>
      <c r="C1076" s="8"/>
      <c r="D1076" s="8"/>
      <c r="I1076" s="8"/>
      <c r="J1076" s="8"/>
    </row>
    <row r="1077">
      <c r="A1077" s="8"/>
      <c r="B1077" s="8" t="str">
        <f>IF(ISBLANK(A1077),"",VLOOKUP(A1077,DOI_URL!$B$1:$C$74,2,FALSE()))</f>
        <v/>
      </c>
      <c r="C1077" s="8"/>
      <c r="D1077" s="8"/>
      <c r="I1077" s="8"/>
      <c r="J1077" s="8"/>
    </row>
    <row r="1078">
      <c r="A1078" s="8"/>
      <c r="B1078" s="8" t="str">
        <f>IF(ISBLANK(A1078),"",VLOOKUP(A1078,DOI_URL!$B$1:$C$74,2,FALSE()))</f>
        <v/>
      </c>
      <c r="C1078" s="8"/>
      <c r="D1078" s="8"/>
      <c r="I1078" s="8"/>
      <c r="J1078" s="8"/>
    </row>
    <row r="1079">
      <c r="A1079" s="8"/>
      <c r="B1079" s="8" t="str">
        <f>IF(ISBLANK(A1079),"",VLOOKUP(A1079,DOI_URL!$B$1:$C$74,2,FALSE()))</f>
        <v/>
      </c>
      <c r="C1079" s="8"/>
      <c r="D1079" s="8"/>
      <c r="I1079" s="8"/>
      <c r="J1079" s="8"/>
    </row>
    <row r="1080">
      <c r="A1080" s="8"/>
      <c r="B1080" s="8" t="str">
        <f>IF(ISBLANK(A1080),"",VLOOKUP(A1080,DOI_URL!$B$1:$C$74,2,FALSE()))</f>
        <v/>
      </c>
      <c r="C1080" s="8"/>
      <c r="D1080" s="8"/>
      <c r="I1080" s="8"/>
      <c r="J1080" s="8"/>
    </row>
    <row r="1081">
      <c r="A1081" s="8"/>
      <c r="B1081" s="8" t="str">
        <f>IF(ISBLANK(A1081),"",VLOOKUP(A1081,DOI_URL!$B$1:$C$74,2,FALSE()))</f>
        <v/>
      </c>
      <c r="C1081" s="8"/>
      <c r="D1081" s="8"/>
      <c r="I1081" s="8"/>
      <c r="J1081" s="8"/>
    </row>
    <row r="1082">
      <c r="A1082" s="8"/>
      <c r="B1082" s="8" t="str">
        <f>IF(ISBLANK(A1082),"",VLOOKUP(A1082,DOI_URL!$B$1:$C$74,2,FALSE()))</f>
        <v/>
      </c>
      <c r="C1082" s="8"/>
      <c r="D1082" s="8"/>
      <c r="I1082" s="8"/>
      <c r="J1082" s="8"/>
    </row>
    <row r="1083">
      <c r="A1083" s="8"/>
      <c r="B1083" s="8" t="str">
        <f>IF(ISBLANK(A1083),"",VLOOKUP(A1083,DOI_URL!$B$1:$C$74,2,FALSE()))</f>
        <v/>
      </c>
      <c r="C1083" s="8"/>
      <c r="D1083" s="8"/>
      <c r="I1083" s="8"/>
      <c r="J1083" s="8"/>
    </row>
    <row r="1084">
      <c r="A1084" s="8"/>
      <c r="B1084" s="8" t="str">
        <f>IF(ISBLANK(A1084),"",VLOOKUP(A1084,DOI_URL!$B$1:$C$74,2,FALSE()))</f>
        <v/>
      </c>
      <c r="C1084" s="8"/>
      <c r="D1084" s="8"/>
      <c r="I1084" s="8"/>
      <c r="J1084" s="8"/>
    </row>
    <row r="1085">
      <c r="A1085" s="8"/>
      <c r="B1085" s="8" t="str">
        <f>IF(ISBLANK(A1085),"",VLOOKUP(A1085,DOI_URL!$B$1:$C$74,2,FALSE()))</f>
        <v/>
      </c>
      <c r="C1085" s="8"/>
      <c r="D1085" s="8"/>
      <c r="I1085" s="8"/>
      <c r="J1085" s="8"/>
    </row>
    <row r="1086">
      <c r="A1086" s="8"/>
      <c r="B1086" s="8" t="str">
        <f>IF(ISBLANK(A1086),"",VLOOKUP(A1086,DOI_URL!$B$1:$C$74,2,FALSE()))</f>
        <v/>
      </c>
      <c r="C1086" s="8"/>
      <c r="D1086" s="8"/>
      <c r="I1086" s="8"/>
      <c r="J1086" s="8"/>
    </row>
    <row r="1087">
      <c r="A1087" s="8"/>
      <c r="B1087" s="8" t="str">
        <f>IF(ISBLANK(A1087),"",VLOOKUP(A1087,DOI_URL!$B$1:$C$74,2,FALSE()))</f>
        <v/>
      </c>
      <c r="C1087" s="8"/>
      <c r="D1087" s="8"/>
      <c r="I1087" s="8"/>
      <c r="J1087" s="8"/>
    </row>
    <row r="1088">
      <c r="A1088" s="8"/>
      <c r="B1088" s="8" t="str">
        <f>IF(ISBLANK(A1088),"",VLOOKUP(A1088,DOI_URL!$B$1:$C$74,2,FALSE()))</f>
        <v/>
      </c>
      <c r="C1088" s="8"/>
      <c r="D1088" s="8"/>
      <c r="I1088" s="8"/>
      <c r="J1088" s="8"/>
    </row>
    <row r="1089">
      <c r="A1089" s="8"/>
      <c r="B1089" s="8" t="str">
        <f>IF(ISBLANK(A1089),"",VLOOKUP(A1089,DOI_URL!$B$1:$C$74,2,FALSE()))</f>
        <v/>
      </c>
      <c r="C1089" s="8"/>
      <c r="D1089" s="8"/>
      <c r="I1089" s="8"/>
      <c r="J1089" s="8"/>
    </row>
    <row r="1090">
      <c r="A1090" s="8"/>
      <c r="B1090" s="8" t="str">
        <f>IF(ISBLANK(A1090),"",VLOOKUP(A1090,DOI_URL!$B$1:$C$74,2,FALSE()))</f>
        <v/>
      </c>
      <c r="C1090" s="8"/>
      <c r="D1090" s="8"/>
      <c r="I1090" s="8"/>
      <c r="J1090" s="8"/>
    </row>
    <row r="1091">
      <c r="A1091" s="8"/>
      <c r="B1091" s="8" t="str">
        <f>IF(ISBLANK(A1091),"",VLOOKUP(A1091,DOI_URL!$B$1:$C$74,2,FALSE()))</f>
        <v/>
      </c>
      <c r="C1091" s="8"/>
      <c r="D1091" s="8"/>
      <c r="I1091" s="8"/>
      <c r="J1091" s="8"/>
    </row>
    <row r="1092">
      <c r="A1092" s="8"/>
      <c r="B1092" s="8" t="str">
        <f>IF(ISBLANK(A1092),"",VLOOKUP(A1092,DOI_URL!$B$1:$C$74,2,FALSE()))</f>
        <v/>
      </c>
      <c r="C1092" s="8"/>
      <c r="D1092" s="8"/>
      <c r="I1092" s="8"/>
      <c r="J1092" s="8"/>
    </row>
    <row r="1093">
      <c r="A1093" s="8"/>
      <c r="B1093" s="8" t="str">
        <f>IF(ISBLANK(A1093),"",VLOOKUP(A1093,DOI_URL!$B$1:$C$74,2,FALSE()))</f>
        <v/>
      </c>
      <c r="C1093" s="8"/>
      <c r="D1093" s="8"/>
      <c r="I1093" s="8"/>
      <c r="J1093" s="8"/>
    </row>
    <row r="1094">
      <c r="A1094" s="8"/>
      <c r="B1094" s="8" t="str">
        <f>IF(ISBLANK(A1094),"",VLOOKUP(A1094,DOI_URL!$B$1:$C$74,2,FALSE()))</f>
        <v/>
      </c>
      <c r="C1094" s="8"/>
      <c r="D1094" s="8"/>
      <c r="I1094" s="8"/>
      <c r="J1094" s="8"/>
    </row>
    <row r="1095">
      <c r="A1095" s="8"/>
      <c r="B1095" s="8" t="str">
        <f>IF(ISBLANK(A1095),"",VLOOKUP(A1095,DOI_URL!$B$1:$C$74,2,FALSE()))</f>
        <v/>
      </c>
      <c r="C1095" s="8"/>
      <c r="D1095" s="8"/>
      <c r="I1095" s="8"/>
      <c r="J1095" s="8"/>
    </row>
    <row r="1096">
      <c r="A1096" s="8"/>
      <c r="B1096" s="8" t="str">
        <f>IF(ISBLANK(A1096),"",VLOOKUP(A1096,DOI_URL!$B$1:$C$74,2,FALSE()))</f>
        <v/>
      </c>
      <c r="C1096" s="8"/>
      <c r="D1096" s="8"/>
      <c r="I1096" s="8"/>
      <c r="J1096" s="8"/>
    </row>
    <row r="1097">
      <c r="A1097" s="8"/>
      <c r="B1097" s="8" t="str">
        <f>IF(ISBLANK(A1097),"",VLOOKUP(A1097,DOI_URL!$B$1:$C$74,2,FALSE()))</f>
        <v/>
      </c>
      <c r="C1097" s="8"/>
      <c r="D1097" s="8"/>
      <c r="I1097" s="8"/>
      <c r="J1097" s="8"/>
    </row>
    <row r="1098">
      <c r="A1098" s="8"/>
      <c r="B1098" s="8" t="str">
        <f>IF(ISBLANK(A1098),"",VLOOKUP(A1098,DOI_URL!$B$1:$C$74,2,FALSE()))</f>
        <v/>
      </c>
      <c r="C1098" s="8"/>
      <c r="D1098" s="8"/>
      <c r="I1098" s="8"/>
      <c r="J1098" s="8"/>
    </row>
    <row r="1099">
      <c r="A1099" s="8"/>
      <c r="B1099" s="8" t="str">
        <f>IF(ISBLANK(A1099),"",VLOOKUP(A1099,DOI_URL!$B$1:$C$74,2,FALSE()))</f>
        <v/>
      </c>
      <c r="C1099" s="8"/>
      <c r="D1099" s="8"/>
      <c r="I1099" s="8"/>
      <c r="J1099" s="8"/>
    </row>
    <row r="1100">
      <c r="A1100" s="8"/>
      <c r="B1100" s="8" t="str">
        <f>IF(ISBLANK(A1100),"",VLOOKUP(A1100,DOI_URL!$B$1:$C$74,2,FALSE()))</f>
        <v/>
      </c>
      <c r="C1100" s="8"/>
      <c r="D1100" s="8"/>
      <c r="I1100" s="8"/>
      <c r="J1100" s="8"/>
    </row>
    <row r="1101">
      <c r="A1101" s="8"/>
      <c r="B1101" s="8" t="str">
        <f>IF(ISBLANK(A1101),"",VLOOKUP(A1101,DOI_URL!$B$1:$C$74,2,FALSE()))</f>
        <v/>
      </c>
      <c r="C1101" s="8"/>
      <c r="D1101" s="8"/>
      <c r="I1101" s="8"/>
      <c r="J1101" s="8"/>
    </row>
    <row r="1102">
      <c r="A1102" s="8"/>
      <c r="B1102" s="8" t="str">
        <f>IF(ISBLANK(A1102),"",VLOOKUP(A1102,DOI_URL!$B$1:$C$74,2,FALSE()))</f>
        <v/>
      </c>
      <c r="C1102" s="8"/>
      <c r="D1102" s="8"/>
      <c r="I1102" s="8"/>
      <c r="J1102" s="8"/>
    </row>
    <row r="1103">
      <c r="A1103" s="8"/>
      <c r="B1103" s="8" t="str">
        <f>IF(ISBLANK(A1103),"",VLOOKUP(A1103,DOI_URL!$B$1:$C$74,2,FALSE()))</f>
        <v/>
      </c>
      <c r="C1103" s="8"/>
      <c r="D1103" s="8"/>
      <c r="I1103" s="8"/>
      <c r="J1103" s="8"/>
    </row>
    <row r="1104">
      <c r="A1104" s="8"/>
      <c r="B1104" s="8" t="str">
        <f>IF(ISBLANK(A1104),"",VLOOKUP(A1104,DOI_URL!$B$1:$C$74,2,FALSE()))</f>
        <v/>
      </c>
      <c r="C1104" s="8"/>
      <c r="D1104" s="8"/>
      <c r="I1104" s="8"/>
      <c r="J1104" s="8"/>
    </row>
    <row r="1105">
      <c r="A1105" s="8"/>
      <c r="B1105" s="8" t="str">
        <f>IF(ISBLANK(A1105),"",VLOOKUP(A1105,DOI_URL!$B$1:$C$74,2,FALSE()))</f>
        <v/>
      </c>
      <c r="C1105" s="8"/>
      <c r="D1105" s="8"/>
      <c r="I1105" s="8"/>
      <c r="J1105" s="8"/>
    </row>
    <row r="1106">
      <c r="A1106" s="8"/>
      <c r="B1106" s="8" t="str">
        <f>IF(ISBLANK(A1106),"",VLOOKUP(A1106,DOI_URL!$B$1:$C$74,2,FALSE()))</f>
        <v/>
      </c>
      <c r="C1106" s="8"/>
      <c r="D1106" s="8"/>
      <c r="I1106" s="8"/>
      <c r="J1106" s="8"/>
    </row>
    <row r="1107">
      <c r="A1107" s="8"/>
      <c r="B1107" s="8" t="str">
        <f>IF(ISBLANK(A1107),"",VLOOKUP(A1107,DOI_URL!$B$1:$C$74,2,FALSE()))</f>
        <v/>
      </c>
      <c r="C1107" s="8"/>
      <c r="D1107" s="8"/>
      <c r="I1107" s="8"/>
      <c r="J1107" s="8"/>
    </row>
    <row r="1108">
      <c r="A1108" s="8"/>
      <c r="B1108" s="8" t="str">
        <f>IF(ISBLANK(A1108),"",VLOOKUP(A1108,DOI_URL!$B$1:$C$74,2,FALSE()))</f>
        <v/>
      </c>
      <c r="C1108" s="8"/>
      <c r="D1108" s="8"/>
      <c r="I1108" s="8"/>
      <c r="J1108" s="8"/>
    </row>
    <row r="1109">
      <c r="A1109" s="8"/>
      <c r="B1109" s="8" t="str">
        <f>IF(ISBLANK(A1109),"",VLOOKUP(A1109,DOI_URL!$B$1:$C$74,2,FALSE()))</f>
        <v/>
      </c>
      <c r="C1109" s="8"/>
      <c r="D1109" s="8"/>
      <c r="I1109" s="8"/>
      <c r="J1109" s="8"/>
    </row>
    <row r="1110">
      <c r="A1110" s="8"/>
      <c r="B1110" s="8" t="str">
        <f>IF(ISBLANK(A1110),"",VLOOKUP(A1110,DOI_URL!$B$1:$C$74,2,FALSE()))</f>
        <v/>
      </c>
      <c r="C1110" s="8"/>
      <c r="D1110" s="8"/>
      <c r="I1110" s="8"/>
      <c r="J1110" s="8"/>
    </row>
    <row r="1111">
      <c r="A1111" s="8"/>
      <c r="B1111" s="8" t="str">
        <f>IF(ISBLANK(A1111),"",VLOOKUP(A1111,DOI_URL!$B$1:$C$74,2,FALSE()))</f>
        <v/>
      </c>
      <c r="C1111" s="8"/>
      <c r="D1111" s="8"/>
      <c r="I1111" s="8"/>
      <c r="J1111" s="8"/>
    </row>
    <row r="1112">
      <c r="A1112" s="8"/>
      <c r="B1112" s="8" t="str">
        <f>IF(ISBLANK(A1112),"",VLOOKUP(A1112,DOI_URL!$B$1:$C$74,2,FALSE()))</f>
        <v/>
      </c>
      <c r="C1112" s="8"/>
      <c r="D1112" s="8"/>
      <c r="I1112" s="8"/>
      <c r="J1112" s="8"/>
    </row>
    <row r="1113">
      <c r="A1113" s="8"/>
      <c r="B1113" s="8" t="str">
        <f>IF(ISBLANK(A1113),"",VLOOKUP(A1113,DOI_URL!$B$1:$C$74,2,FALSE()))</f>
        <v/>
      </c>
      <c r="C1113" s="8"/>
      <c r="D1113" s="8"/>
      <c r="I1113" s="8"/>
      <c r="J1113" s="8"/>
    </row>
    <row r="1114">
      <c r="A1114" s="8"/>
      <c r="B1114" s="8" t="str">
        <f>IF(ISBLANK(A1114),"",VLOOKUP(A1114,DOI_URL!$B$1:$C$74,2,FALSE()))</f>
        <v/>
      </c>
      <c r="C1114" s="8"/>
      <c r="D1114" s="8"/>
      <c r="I1114" s="8"/>
      <c r="J1114" s="8"/>
    </row>
    <row r="1115">
      <c r="A1115" s="8"/>
      <c r="B1115" s="8" t="str">
        <f>IF(ISBLANK(A1115),"",VLOOKUP(A1115,DOI_URL!$B$1:$C$74,2,FALSE()))</f>
        <v/>
      </c>
      <c r="C1115" s="8"/>
      <c r="D1115" s="8"/>
      <c r="I1115" s="8"/>
      <c r="J1115" s="8"/>
    </row>
    <row r="1116">
      <c r="A1116" s="8"/>
      <c r="B1116" s="8" t="str">
        <f>IF(ISBLANK(A1116),"",VLOOKUP(A1116,DOI_URL!$B$1:$C$74,2,FALSE()))</f>
        <v/>
      </c>
      <c r="C1116" s="8"/>
      <c r="D1116" s="8"/>
      <c r="I1116" s="8"/>
      <c r="J1116" s="8"/>
    </row>
    <row r="1117">
      <c r="A1117" s="8"/>
      <c r="B1117" s="8" t="str">
        <f>IF(ISBLANK(A1117),"",VLOOKUP(A1117,DOI_URL!$B$1:$C$74,2,FALSE()))</f>
        <v/>
      </c>
      <c r="C1117" s="8"/>
      <c r="D1117" s="8"/>
      <c r="I1117" s="8"/>
      <c r="J1117" s="8"/>
    </row>
    <row r="1118">
      <c r="A1118" s="8"/>
      <c r="B1118" s="8" t="str">
        <f>IF(ISBLANK(A1118),"",VLOOKUP(A1118,DOI_URL!$B$1:$C$74,2,FALSE()))</f>
        <v/>
      </c>
      <c r="C1118" s="8"/>
      <c r="D1118" s="8"/>
      <c r="I1118" s="8"/>
      <c r="J1118" s="8"/>
    </row>
  </sheetData>
  <dataValidations>
    <dataValidation type="list" allowBlank="1" showInputMessage="1" prompt="Haz clic e introduce un valor de intervalo 'General Taggs'!C2:C32" sqref="I2:I41 I43:I1118">
      <formula1>'General Tags'!$D$2:$D$32</formula1>
    </dataValidation>
    <dataValidation type="list" allowBlank="1" sqref="A2:A138 A140:A1118">
      <formula1>Assignment!$G$3:$G$37</formula1>
    </dataValidation>
    <dataValidation type="list" allowBlank="1" sqref="C2:C1118">
      <formula1>'General Tags'!$B$2:$B$3</formula1>
    </dataValidation>
    <dataValidation type="list" allowBlank="1" sqref="D2:D161 D162:E162 D163:D1118">
      <formula1>'General Tags'!$C$2:$C$3</formula1>
    </dataValidation>
    <dataValidation type="list" allowBlank="1" showInputMessage="1" showErrorMessage="1" prompt="Please, first add the SE task in the General tags page in column E" sqref="J2:J1118">
      <formula1>'General Tags'!$F$2:$F$295</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4.88"/>
    <col customWidth="1" min="4" max="4" width="20.13"/>
    <col customWidth="1" min="5" max="5" width="21.63"/>
    <col customWidth="1" min="6" max="6" width="30.0"/>
    <col customWidth="1" min="7" max="8" width="32.63"/>
    <col customWidth="1" min="9" max="9" width="19.63"/>
    <col customWidth="1" min="10" max="10" width="25.38"/>
  </cols>
  <sheetData>
    <row r="1" ht="35.25" customHeight="1">
      <c r="A1" s="172" t="s">
        <v>3329</v>
      </c>
      <c r="B1" s="158" t="s">
        <v>3330</v>
      </c>
      <c r="C1" s="158" t="s">
        <v>3307</v>
      </c>
      <c r="D1" s="158" t="s">
        <v>3331</v>
      </c>
      <c r="E1" s="158" t="s">
        <v>2</v>
      </c>
      <c r="F1" s="160" t="s">
        <v>3</v>
      </c>
      <c r="G1" s="173" t="s">
        <v>4</v>
      </c>
      <c r="H1" s="174" t="s">
        <v>5</v>
      </c>
      <c r="I1" s="159" t="s">
        <v>6</v>
      </c>
      <c r="J1" s="159" t="s">
        <v>7</v>
      </c>
    </row>
    <row r="2">
      <c r="A2" s="1" t="s">
        <v>598</v>
      </c>
      <c r="B2" s="170" t="str">
        <f>IF(ISBLANK(A2),"",VLOOKUP(A2,DOI_URL!$B$1:$C$74,2,FALSE()))</f>
        <v>https://drive.google.com/file/d/1gauBY3c2laD_XNzROdOmX9qSs8AfvPe8/view?usp=sharing</v>
      </c>
      <c r="C2" s="1" t="s">
        <v>3311</v>
      </c>
      <c r="D2" s="1" t="s">
        <v>3311</v>
      </c>
      <c r="E2" s="56" t="s">
        <v>2509</v>
      </c>
      <c r="F2" s="56" t="s">
        <v>2510</v>
      </c>
      <c r="G2" s="56" t="s">
        <v>2511</v>
      </c>
      <c r="H2" s="56" t="s">
        <v>2512</v>
      </c>
      <c r="I2" s="1" t="s">
        <v>44</v>
      </c>
      <c r="J2" s="1" t="s">
        <v>603</v>
      </c>
    </row>
    <row r="3">
      <c r="A3" s="1" t="s">
        <v>598</v>
      </c>
      <c r="B3" s="170" t="str">
        <f>IF(ISBLANK(A3),"",VLOOKUP(A3,DOI_URL!$B$1:$C$74,2,FALSE()))</f>
        <v>https://drive.google.com/file/d/1gauBY3c2laD_XNzROdOmX9qSs8AfvPe8/view?usp=sharing</v>
      </c>
      <c r="C3" s="1" t="s">
        <v>3311</v>
      </c>
      <c r="D3" s="1" t="s">
        <v>3311</v>
      </c>
      <c r="E3" s="56" t="s">
        <v>2513</v>
      </c>
      <c r="F3" s="56" t="s">
        <v>2510</v>
      </c>
      <c r="G3" s="56" t="s">
        <v>2514</v>
      </c>
      <c r="H3" s="56" t="s">
        <v>2512</v>
      </c>
      <c r="I3" s="1" t="s">
        <v>44</v>
      </c>
      <c r="J3" s="1" t="s">
        <v>603</v>
      </c>
    </row>
    <row r="4">
      <c r="A4" s="1" t="s">
        <v>598</v>
      </c>
      <c r="B4" s="170" t="str">
        <f>IF(ISBLANK(A4),"",VLOOKUP(A4,DOI_URL!$B$1:$C$74,2,FALSE()))</f>
        <v>https://drive.google.com/file/d/1gauBY3c2laD_XNzROdOmX9qSs8AfvPe8/view?usp=sharing</v>
      </c>
      <c r="C4" s="1" t="s">
        <v>3311</v>
      </c>
      <c r="D4" s="1" t="s">
        <v>3311</v>
      </c>
      <c r="E4" s="56" t="s">
        <v>2515</v>
      </c>
      <c r="F4" s="56" t="s">
        <v>2510</v>
      </c>
      <c r="G4" s="56" t="s">
        <v>2516</v>
      </c>
      <c r="H4" s="56" t="s">
        <v>2512</v>
      </c>
      <c r="I4" s="1" t="s">
        <v>44</v>
      </c>
      <c r="J4" s="1" t="s">
        <v>603</v>
      </c>
    </row>
    <row r="5">
      <c r="A5" s="1" t="s">
        <v>598</v>
      </c>
      <c r="B5" s="170" t="str">
        <f>IF(ISBLANK(A5),"",VLOOKUP(A5,DOI_URL!$B$1:$C$74,2,FALSE()))</f>
        <v>https://drive.google.com/file/d/1gauBY3c2laD_XNzROdOmX9qSs8AfvPe8/view?usp=sharing</v>
      </c>
      <c r="C5" s="1" t="s">
        <v>3311</v>
      </c>
      <c r="D5" s="1" t="s">
        <v>3311</v>
      </c>
      <c r="E5" s="56" t="s">
        <v>2517</v>
      </c>
      <c r="F5" s="56" t="s">
        <v>2518</v>
      </c>
      <c r="G5" s="56" t="s">
        <v>2519</v>
      </c>
      <c r="H5" s="56" t="s">
        <v>2520</v>
      </c>
      <c r="I5" s="1" t="s">
        <v>39</v>
      </c>
      <c r="J5" s="1" t="s">
        <v>603</v>
      </c>
    </row>
    <row r="6">
      <c r="A6" s="1" t="s">
        <v>598</v>
      </c>
      <c r="B6" s="170" t="str">
        <f>IF(ISBLANK(A6),"",VLOOKUP(A6,DOI_URL!$B$1:$C$74,2,FALSE()))</f>
        <v>https://drive.google.com/file/d/1gauBY3c2laD_XNzROdOmX9qSs8AfvPe8/view?usp=sharing</v>
      </c>
      <c r="C6" s="1" t="s">
        <v>3311</v>
      </c>
      <c r="D6" s="1" t="s">
        <v>3311</v>
      </c>
      <c r="E6" s="56" t="s">
        <v>2522</v>
      </c>
      <c r="F6" s="56" t="s">
        <v>2518</v>
      </c>
      <c r="G6" s="56" t="s">
        <v>2523</v>
      </c>
      <c r="H6" s="56" t="s">
        <v>2524</v>
      </c>
      <c r="I6" s="1" t="s">
        <v>39</v>
      </c>
      <c r="J6" s="1" t="s">
        <v>603</v>
      </c>
    </row>
    <row r="7">
      <c r="A7" s="1" t="s">
        <v>598</v>
      </c>
      <c r="B7" s="170" t="str">
        <f>IF(ISBLANK(A7),"",VLOOKUP(A7,DOI_URL!$B$1:$C$74,2,FALSE()))</f>
        <v>https://drive.google.com/file/d/1gauBY3c2laD_XNzROdOmX9qSs8AfvPe8/view?usp=sharing</v>
      </c>
      <c r="C7" s="1" t="s">
        <v>3311</v>
      </c>
      <c r="D7" s="1" t="s">
        <v>3311</v>
      </c>
      <c r="E7" s="56" t="s">
        <v>2525</v>
      </c>
      <c r="F7" s="56" t="s">
        <v>2526</v>
      </c>
      <c r="G7" s="56" t="s">
        <v>618</v>
      </c>
      <c r="H7" s="56" t="s">
        <v>2527</v>
      </c>
      <c r="I7" s="1" t="s">
        <v>54</v>
      </c>
      <c r="J7" s="1" t="s">
        <v>603</v>
      </c>
    </row>
    <row r="8">
      <c r="A8" s="1" t="s">
        <v>598</v>
      </c>
      <c r="B8" s="170" t="str">
        <f>IF(ISBLANK(A8),"",VLOOKUP(A8,DOI_URL!$B$1:$C$74,2,FALSE()))</f>
        <v>https://drive.google.com/file/d/1gauBY3c2laD_XNzROdOmX9qSs8AfvPe8/view?usp=sharing</v>
      </c>
      <c r="C8" s="1" t="s">
        <v>3311</v>
      </c>
      <c r="D8" s="1" t="s">
        <v>3311</v>
      </c>
      <c r="E8" s="56" t="s">
        <v>2354</v>
      </c>
      <c r="F8" s="56" t="s">
        <v>2526</v>
      </c>
      <c r="G8" s="56" t="s">
        <v>622</v>
      </c>
      <c r="H8" s="56" t="s">
        <v>2527</v>
      </c>
      <c r="I8" s="1" t="s">
        <v>39</v>
      </c>
      <c r="J8" s="1" t="s">
        <v>603</v>
      </c>
    </row>
    <row r="9">
      <c r="A9" s="1" t="s">
        <v>598</v>
      </c>
      <c r="B9" s="170" t="str">
        <f>IF(ISBLANK(A9),"",VLOOKUP(A9,DOI_URL!$B$1:$C$74,2,FALSE()))</f>
        <v>https://drive.google.com/file/d/1gauBY3c2laD_XNzROdOmX9qSs8AfvPe8/view?usp=sharing</v>
      </c>
      <c r="C9" s="1" t="s">
        <v>3311</v>
      </c>
      <c r="D9" s="1" t="s">
        <v>3311</v>
      </c>
      <c r="E9" s="56" t="s">
        <v>2007</v>
      </c>
      <c r="F9" s="56" t="s">
        <v>2526</v>
      </c>
      <c r="G9" s="56" t="s">
        <v>2530</v>
      </c>
      <c r="H9" s="56" t="s">
        <v>2527</v>
      </c>
      <c r="I9" s="1" t="s">
        <v>39</v>
      </c>
      <c r="J9" s="1" t="s">
        <v>603</v>
      </c>
    </row>
    <row r="10">
      <c r="A10" s="1" t="s">
        <v>598</v>
      </c>
      <c r="B10" s="170" t="str">
        <f>IF(ISBLANK(A10),"",VLOOKUP(A10,DOI_URL!$B$1:$C$74,2,FALSE()))</f>
        <v>https://drive.google.com/file/d/1gauBY3c2laD_XNzROdOmX9qSs8AfvPe8/view?usp=sharing</v>
      </c>
      <c r="C10" s="1" t="s">
        <v>3311</v>
      </c>
      <c r="D10" s="1" t="s">
        <v>3311</v>
      </c>
      <c r="E10" s="56" t="s">
        <v>2531</v>
      </c>
      <c r="F10" s="56" t="s">
        <v>2526</v>
      </c>
      <c r="G10" s="56" t="s">
        <v>2532</v>
      </c>
      <c r="H10" s="56" t="s">
        <v>2527</v>
      </c>
      <c r="I10" s="1" t="s">
        <v>39</v>
      </c>
      <c r="J10" s="1" t="s">
        <v>603</v>
      </c>
    </row>
    <row r="11">
      <c r="A11" s="1" t="s">
        <v>598</v>
      </c>
      <c r="B11" s="170" t="str">
        <f>IF(ISBLANK(A11),"",VLOOKUP(A11,DOI_URL!$B$1:$C$74,2,FALSE()))</f>
        <v>https://drive.google.com/file/d/1gauBY3c2laD_XNzROdOmX9qSs8AfvPe8/view?usp=sharing</v>
      </c>
      <c r="C11" s="1" t="s">
        <v>3311</v>
      </c>
      <c r="D11" s="1" t="s">
        <v>3311</v>
      </c>
      <c r="E11" s="56" t="s">
        <v>2011</v>
      </c>
      <c r="F11" s="56" t="s">
        <v>633</v>
      </c>
      <c r="G11" s="56" t="s">
        <v>2533</v>
      </c>
      <c r="H11" s="56" t="s">
        <v>2534</v>
      </c>
      <c r="I11" s="1" t="s">
        <v>39</v>
      </c>
      <c r="J11" s="1" t="s">
        <v>603</v>
      </c>
    </row>
    <row r="12">
      <c r="A12" s="1" t="s">
        <v>598</v>
      </c>
      <c r="B12" s="170" t="str">
        <f>IF(ISBLANK(A12),"",VLOOKUP(A12,DOI_URL!$B$1:$C$74,2,FALSE()))</f>
        <v>https://drive.google.com/file/d/1gauBY3c2laD_XNzROdOmX9qSs8AfvPe8/view?usp=sharing</v>
      </c>
      <c r="C12" s="1" t="s">
        <v>3311</v>
      </c>
      <c r="D12" s="1" t="s">
        <v>3311</v>
      </c>
      <c r="E12" s="56" t="s">
        <v>2011</v>
      </c>
      <c r="F12" s="56" t="s">
        <v>633</v>
      </c>
      <c r="G12" s="56" t="s">
        <v>2536</v>
      </c>
      <c r="H12" s="56" t="s">
        <v>716</v>
      </c>
      <c r="I12" s="1" t="s">
        <v>39</v>
      </c>
      <c r="J12" s="1" t="s">
        <v>603</v>
      </c>
    </row>
    <row r="13">
      <c r="A13" s="1" t="s">
        <v>598</v>
      </c>
      <c r="B13" s="170" t="str">
        <f>IF(ISBLANK(A13),"",VLOOKUP(A13,DOI_URL!$B$1:$C$74,2,FALSE()))</f>
        <v>https://drive.google.com/file/d/1gauBY3c2laD_XNzROdOmX9qSs8AfvPe8/view?usp=sharing</v>
      </c>
      <c r="C13" s="1" t="s">
        <v>3311</v>
      </c>
      <c r="D13" s="1" t="s">
        <v>3311</v>
      </c>
      <c r="E13" s="56" t="s">
        <v>2011</v>
      </c>
      <c r="F13" s="56" t="s">
        <v>633</v>
      </c>
      <c r="G13" s="56" t="s">
        <v>2539</v>
      </c>
      <c r="H13" s="56" t="s">
        <v>716</v>
      </c>
      <c r="I13" s="1" t="s">
        <v>39</v>
      </c>
      <c r="J13" s="1" t="s">
        <v>603</v>
      </c>
    </row>
    <row r="14">
      <c r="A14" s="1" t="s">
        <v>598</v>
      </c>
      <c r="B14" s="170" t="str">
        <f>IF(ISBLANK(A14),"",VLOOKUP(A14,DOI_URL!$B$1:$C$74,2,FALSE()))</f>
        <v>https://drive.google.com/file/d/1gauBY3c2laD_XNzROdOmX9qSs8AfvPe8/view?usp=sharing</v>
      </c>
      <c r="C14" s="1" t="s">
        <v>3311</v>
      </c>
      <c r="D14" s="1" t="s">
        <v>3311</v>
      </c>
      <c r="E14" s="56" t="s">
        <v>2011</v>
      </c>
      <c r="F14" s="56" t="s">
        <v>633</v>
      </c>
      <c r="G14" s="56" t="s">
        <v>2541</v>
      </c>
      <c r="H14" s="56" t="s">
        <v>716</v>
      </c>
      <c r="I14" s="1" t="s">
        <v>39</v>
      </c>
      <c r="J14" s="1" t="s">
        <v>603</v>
      </c>
    </row>
    <row r="15">
      <c r="A15" s="1" t="s">
        <v>598</v>
      </c>
      <c r="B15" s="170" t="str">
        <f>IF(ISBLANK(A15),"",VLOOKUP(A15,DOI_URL!$B$1:$C$74,2,FALSE()))</f>
        <v>https://drive.google.com/file/d/1gauBY3c2laD_XNzROdOmX9qSs8AfvPe8/view?usp=sharing</v>
      </c>
      <c r="C15" s="1" t="s">
        <v>3311</v>
      </c>
      <c r="D15" s="1" t="s">
        <v>3311</v>
      </c>
      <c r="E15" s="56" t="s">
        <v>2011</v>
      </c>
      <c r="F15" s="56" t="s">
        <v>633</v>
      </c>
      <c r="G15" s="56" t="s">
        <v>2542</v>
      </c>
      <c r="H15" s="56" t="s">
        <v>716</v>
      </c>
      <c r="I15" s="1" t="s">
        <v>39</v>
      </c>
      <c r="J15" s="1" t="s">
        <v>603</v>
      </c>
    </row>
    <row r="16">
      <c r="A16" s="175" t="s">
        <v>2201</v>
      </c>
      <c r="B16" s="170" t="str">
        <f>IF(ISBLANK(A16),"",VLOOKUP(A16,DOI_URL!$B$1:$C$74,2,FALSE()))</f>
        <v>https://drive.google.com/file/d/1CSl0IGiaYwhF9_4qapj_Bxp0Rq4uR3jq/view?usp=sharing</v>
      </c>
      <c r="C16" s="1" t="s">
        <v>3309</v>
      </c>
      <c r="D16" s="8"/>
      <c r="G16" s="1"/>
      <c r="I16" s="8"/>
      <c r="J16" s="8"/>
      <c r="K16" s="1" t="s">
        <v>3427</v>
      </c>
    </row>
    <row r="17">
      <c r="A17" s="175" t="s">
        <v>542</v>
      </c>
      <c r="B17" s="170" t="str">
        <f>IF(ISBLANK(A17),"",VLOOKUP(A17,DOI_URL!$B$1:$C$74,2,FALSE()))</f>
        <v>https://drive.google.com/file/d/1qDB5tlbRbUSd9fxKjqgVpFHVXMoIcQiK/view?usp=sharing</v>
      </c>
      <c r="C17" s="1" t="s">
        <v>3311</v>
      </c>
      <c r="D17" s="1" t="s">
        <v>3311</v>
      </c>
      <c r="E17" s="56" t="s">
        <v>2479</v>
      </c>
      <c r="F17" s="56" t="s">
        <v>2480</v>
      </c>
      <c r="G17" s="56" t="s">
        <v>2481</v>
      </c>
      <c r="H17" s="56" t="s">
        <v>2482</v>
      </c>
      <c r="I17" s="1" t="s">
        <v>39</v>
      </c>
      <c r="J17" s="1" t="s">
        <v>547</v>
      </c>
    </row>
    <row r="18">
      <c r="A18" s="175" t="s">
        <v>542</v>
      </c>
      <c r="B18" s="170" t="str">
        <f>IF(ISBLANK(A18),"",VLOOKUP(A18,DOI_URL!$B$1:$C$74,2,FALSE()))</f>
        <v>https://drive.google.com/file/d/1qDB5tlbRbUSd9fxKjqgVpFHVXMoIcQiK/view?usp=sharing</v>
      </c>
      <c r="C18" s="1" t="s">
        <v>3311</v>
      </c>
      <c r="D18" s="1" t="s">
        <v>3311</v>
      </c>
      <c r="E18" s="56" t="s">
        <v>2483</v>
      </c>
      <c r="F18" s="56" t="s">
        <v>2484</v>
      </c>
      <c r="G18" s="56" t="s">
        <v>552</v>
      </c>
      <c r="H18" s="56" t="s">
        <v>2485</v>
      </c>
      <c r="I18" s="1" t="s">
        <v>54</v>
      </c>
      <c r="J18" s="1" t="s">
        <v>547</v>
      </c>
    </row>
    <row r="19">
      <c r="A19" s="175" t="s">
        <v>542</v>
      </c>
      <c r="B19" s="170" t="str">
        <f>IF(ISBLANK(A19),"",VLOOKUP(A19,DOI_URL!$B$1:$C$74,2,FALSE()))</f>
        <v>https://drive.google.com/file/d/1qDB5tlbRbUSd9fxKjqgVpFHVXMoIcQiK/view?usp=sharing</v>
      </c>
      <c r="C19" s="1" t="s">
        <v>3311</v>
      </c>
      <c r="D19" s="1" t="s">
        <v>3311</v>
      </c>
      <c r="E19" s="56" t="s">
        <v>2483</v>
      </c>
      <c r="F19" s="56" t="s">
        <v>2484</v>
      </c>
      <c r="G19" s="56" t="s">
        <v>550</v>
      </c>
      <c r="H19" s="56" t="s">
        <v>2485</v>
      </c>
      <c r="I19" s="1" t="s">
        <v>54</v>
      </c>
      <c r="J19" s="1" t="s">
        <v>547</v>
      </c>
    </row>
    <row r="20">
      <c r="A20" s="175" t="s">
        <v>542</v>
      </c>
      <c r="B20" s="170" t="str">
        <f>IF(ISBLANK(A20),"",VLOOKUP(A20,DOI_URL!$B$1:$C$74,2,FALSE()))</f>
        <v>https://drive.google.com/file/d/1qDB5tlbRbUSd9fxKjqgVpFHVXMoIcQiK/view?usp=sharing</v>
      </c>
      <c r="C20" s="1" t="s">
        <v>3311</v>
      </c>
      <c r="D20" s="1" t="s">
        <v>3311</v>
      </c>
      <c r="E20" s="56" t="s">
        <v>2486</v>
      </c>
      <c r="F20" s="56" t="s">
        <v>2487</v>
      </c>
      <c r="G20" s="56" t="s">
        <v>2488</v>
      </c>
      <c r="H20" s="56" t="s">
        <v>2489</v>
      </c>
      <c r="I20" s="8"/>
      <c r="J20" s="1" t="s">
        <v>547</v>
      </c>
    </row>
    <row r="21">
      <c r="A21" s="175" t="s">
        <v>542</v>
      </c>
      <c r="B21" s="170" t="str">
        <f>IF(ISBLANK(A21),"",VLOOKUP(A21,DOI_URL!$B$1:$C$74,2,FALSE()))</f>
        <v>https://drive.google.com/file/d/1qDB5tlbRbUSd9fxKjqgVpFHVXMoIcQiK/view?usp=sharing</v>
      </c>
      <c r="C21" s="1" t="s">
        <v>3311</v>
      </c>
      <c r="D21" s="1" t="s">
        <v>3311</v>
      </c>
      <c r="E21" s="56" t="s">
        <v>2486</v>
      </c>
      <c r="F21" s="56" t="s">
        <v>2487</v>
      </c>
      <c r="G21" s="56" t="s">
        <v>2490</v>
      </c>
      <c r="H21" s="56" t="s">
        <v>2489</v>
      </c>
      <c r="I21" s="8"/>
      <c r="J21" s="1" t="s">
        <v>547</v>
      </c>
    </row>
    <row r="22">
      <c r="A22" s="175" t="s">
        <v>542</v>
      </c>
      <c r="B22" s="170" t="str">
        <f>IF(ISBLANK(A22),"",VLOOKUP(A22,DOI_URL!$B$1:$C$74,2,FALSE()))</f>
        <v>https://drive.google.com/file/d/1qDB5tlbRbUSd9fxKjqgVpFHVXMoIcQiK/view?usp=sharing</v>
      </c>
      <c r="C22" s="1" t="s">
        <v>3311</v>
      </c>
      <c r="D22" s="1" t="s">
        <v>3311</v>
      </c>
      <c r="E22" s="56" t="s">
        <v>2491</v>
      </c>
      <c r="F22" s="56" t="s">
        <v>2492</v>
      </c>
      <c r="G22" s="56" t="s">
        <v>2493</v>
      </c>
      <c r="H22" s="56" t="s">
        <v>2494</v>
      </c>
      <c r="I22" s="1" t="s">
        <v>39</v>
      </c>
      <c r="J22" s="1" t="s">
        <v>547</v>
      </c>
    </row>
    <row r="23">
      <c r="A23" s="175" t="s">
        <v>542</v>
      </c>
      <c r="B23" s="170" t="str">
        <f>IF(ISBLANK(A23),"",VLOOKUP(A23,DOI_URL!$B$1:$C$74,2,FALSE()))</f>
        <v>https://drive.google.com/file/d/1qDB5tlbRbUSd9fxKjqgVpFHVXMoIcQiK/view?usp=sharing</v>
      </c>
      <c r="C23" s="1" t="s">
        <v>3311</v>
      </c>
      <c r="D23" s="1" t="s">
        <v>3311</v>
      </c>
      <c r="E23" s="56" t="s">
        <v>2491</v>
      </c>
      <c r="F23" s="56" t="s">
        <v>2492</v>
      </c>
      <c r="G23" s="56" t="s">
        <v>2495</v>
      </c>
      <c r="H23" s="56" t="s">
        <v>2494</v>
      </c>
      <c r="I23" s="1" t="s">
        <v>39</v>
      </c>
      <c r="J23" s="1" t="s">
        <v>547</v>
      </c>
    </row>
    <row r="24">
      <c r="A24" s="175" t="s">
        <v>542</v>
      </c>
      <c r="B24" s="170" t="str">
        <f>IF(ISBLANK(A24),"",VLOOKUP(A24,DOI_URL!$B$1:$C$74,2,FALSE()))</f>
        <v>https://drive.google.com/file/d/1qDB5tlbRbUSd9fxKjqgVpFHVXMoIcQiK/view?usp=sharing</v>
      </c>
      <c r="C24" s="1" t="s">
        <v>3311</v>
      </c>
      <c r="D24" s="1" t="s">
        <v>3311</v>
      </c>
      <c r="E24" s="56" t="s">
        <v>2496</v>
      </c>
      <c r="F24" s="56" t="s">
        <v>2497</v>
      </c>
      <c r="G24" s="56" t="s">
        <v>2498</v>
      </c>
      <c r="H24" s="56" t="s">
        <v>2499</v>
      </c>
      <c r="I24" s="1" t="s">
        <v>39</v>
      </c>
      <c r="J24" s="1" t="s">
        <v>547</v>
      </c>
    </row>
    <row r="25">
      <c r="A25" s="175" t="s">
        <v>1959</v>
      </c>
      <c r="B25" s="170" t="str">
        <f>IF(ISBLANK(A25),"",VLOOKUP(A25,DOI_URL!$B$1:$C$74,2,FALSE()))</f>
        <v>https://drive.google.com/file/d/1mr2bN6jlmO4CU1h1wbiKkBuSknoMUQtq/view?usp=sharing</v>
      </c>
      <c r="C25" s="1" t="s">
        <v>3311</v>
      </c>
      <c r="D25" s="1" t="s">
        <v>3311</v>
      </c>
      <c r="E25" s="56" t="s">
        <v>3188</v>
      </c>
      <c r="F25" s="56" t="s">
        <v>1961</v>
      </c>
      <c r="G25" s="56" t="s">
        <v>1962</v>
      </c>
      <c r="H25" s="56" t="s">
        <v>3189</v>
      </c>
      <c r="I25" s="1" t="s">
        <v>54</v>
      </c>
      <c r="J25" s="1" t="s">
        <v>1475</v>
      </c>
    </row>
    <row r="26">
      <c r="A26" s="175" t="s">
        <v>1959</v>
      </c>
      <c r="B26" s="170" t="str">
        <f>IF(ISBLANK(A26),"",VLOOKUP(A26,DOI_URL!$B$1:$C$74,2,FALSE()))</f>
        <v>https://drive.google.com/file/d/1mr2bN6jlmO4CU1h1wbiKkBuSknoMUQtq/view?usp=sharing</v>
      </c>
      <c r="C26" s="1" t="s">
        <v>3311</v>
      </c>
      <c r="D26" s="1" t="s">
        <v>3311</v>
      </c>
      <c r="E26" s="56" t="s">
        <v>3190</v>
      </c>
      <c r="F26" s="56" t="s">
        <v>1961</v>
      </c>
      <c r="G26" s="56" t="s">
        <v>1965</v>
      </c>
      <c r="H26" s="56" t="s">
        <v>3189</v>
      </c>
      <c r="I26" s="1" t="s">
        <v>54</v>
      </c>
      <c r="J26" s="1" t="s">
        <v>1475</v>
      </c>
    </row>
    <row r="27">
      <c r="A27" s="175" t="s">
        <v>1959</v>
      </c>
      <c r="B27" s="170" t="str">
        <f>IF(ISBLANK(A27),"",VLOOKUP(A27,DOI_URL!$B$1:$C$74,2,FALSE()))</f>
        <v>https://drive.google.com/file/d/1mr2bN6jlmO4CU1h1wbiKkBuSknoMUQtq/view?usp=sharing</v>
      </c>
      <c r="C27" s="1" t="s">
        <v>3311</v>
      </c>
      <c r="D27" s="1" t="s">
        <v>3311</v>
      </c>
      <c r="E27" s="56" t="s">
        <v>3191</v>
      </c>
      <c r="F27" s="56" t="s">
        <v>1961</v>
      </c>
      <c r="G27" s="56" t="s">
        <v>1967</v>
      </c>
      <c r="H27" s="56" t="s">
        <v>3189</v>
      </c>
      <c r="I27" s="1" t="s">
        <v>54</v>
      </c>
      <c r="J27" s="1" t="s">
        <v>1475</v>
      </c>
    </row>
    <row r="28">
      <c r="A28" s="175" t="s">
        <v>1959</v>
      </c>
      <c r="B28" s="170" t="str">
        <f>IF(ISBLANK(A28),"",VLOOKUP(A28,DOI_URL!$B$1:$C$74,2,FALSE()))</f>
        <v>https://drive.google.com/file/d/1mr2bN6jlmO4CU1h1wbiKkBuSknoMUQtq/view?usp=sharing</v>
      </c>
      <c r="C28" s="1" t="s">
        <v>3311</v>
      </c>
      <c r="D28" s="1" t="s">
        <v>3311</v>
      </c>
      <c r="E28" s="56" t="s">
        <v>1968</v>
      </c>
      <c r="F28" s="56" t="s">
        <v>1961</v>
      </c>
      <c r="G28" s="56" t="s">
        <v>1969</v>
      </c>
      <c r="H28" s="56" t="s">
        <v>3189</v>
      </c>
      <c r="I28" s="1" t="s">
        <v>54</v>
      </c>
      <c r="J28" s="1" t="s">
        <v>1475</v>
      </c>
    </row>
    <row r="29">
      <c r="A29" s="175" t="s">
        <v>1959</v>
      </c>
      <c r="B29" s="170" t="str">
        <f>IF(ISBLANK(A29),"",VLOOKUP(A29,DOI_URL!$B$1:$C$74,2,FALSE()))</f>
        <v>https://drive.google.com/file/d/1mr2bN6jlmO4CU1h1wbiKkBuSknoMUQtq/view?usp=sharing</v>
      </c>
      <c r="C29" s="1" t="s">
        <v>3311</v>
      </c>
      <c r="D29" s="1" t="s">
        <v>3311</v>
      </c>
      <c r="E29" s="56" t="s">
        <v>1995</v>
      </c>
      <c r="F29" s="59"/>
      <c r="G29" s="56" t="s">
        <v>1464</v>
      </c>
      <c r="H29" s="56" t="s">
        <v>1996</v>
      </c>
      <c r="I29" s="1" t="s">
        <v>39</v>
      </c>
      <c r="J29" s="1" t="s">
        <v>1475</v>
      </c>
    </row>
    <row r="30">
      <c r="A30" s="175" t="s">
        <v>1959</v>
      </c>
      <c r="B30" s="170" t="str">
        <f>IF(ISBLANK(A30),"",VLOOKUP(A30,DOI_URL!$B$1:$C$74,2,FALSE()))</f>
        <v>https://drive.google.com/file/d/1mr2bN6jlmO4CU1h1wbiKkBuSknoMUQtq/view?usp=sharing</v>
      </c>
      <c r="C30" s="1" t="s">
        <v>3311</v>
      </c>
      <c r="D30" s="1" t="s">
        <v>3311</v>
      </c>
      <c r="E30" s="56" t="s">
        <v>3192</v>
      </c>
      <c r="F30" s="56" t="s">
        <v>1491</v>
      </c>
      <c r="G30" s="56" t="s">
        <v>2985</v>
      </c>
      <c r="H30" s="56" t="s">
        <v>716</v>
      </c>
      <c r="I30" s="1" t="s">
        <v>39</v>
      </c>
      <c r="J30" s="1" t="s">
        <v>1475</v>
      </c>
    </row>
    <row r="31">
      <c r="A31" s="175" t="s">
        <v>1959</v>
      </c>
      <c r="B31" s="170" t="str">
        <f>IF(ISBLANK(A31),"",VLOOKUP(A31,DOI_URL!$B$1:$C$74,2,FALSE()))</f>
        <v>https://drive.google.com/file/d/1mr2bN6jlmO4CU1h1wbiKkBuSknoMUQtq/view?usp=sharing</v>
      </c>
      <c r="C31" s="1" t="s">
        <v>3311</v>
      </c>
      <c r="D31" s="1" t="s">
        <v>3311</v>
      </c>
      <c r="E31" s="56" t="s">
        <v>3192</v>
      </c>
      <c r="F31" s="56" t="s">
        <v>1491</v>
      </c>
      <c r="G31" s="56" t="s">
        <v>2986</v>
      </c>
      <c r="H31" s="56" t="s">
        <v>716</v>
      </c>
      <c r="I31" s="1" t="s">
        <v>39</v>
      </c>
      <c r="J31" s="1" t="s">
        <v>1475</v>
      </c>
    </row>
    <row r="32">
      <c r="A32" s="175" t="s">
        <v>1959</v>
      </c>
      <c r="B32" s="170" t="str">
        <f>IF(ISBLANK(A32),"",VLOOKUP(A32,DOI_URL!$B$1:$C$74,2,FALSE()))</f>
        <v>https://drive.google.com/file/d/1mr2bN6jlmO4CU1h1wbiKkBuSknoMUQtq/view?usp=sharing</v>
      </c>
      <c r="C32" s="1" t="s">
        <v>3311</v>
      </c>
      <c r="D32" s="1" t="s">
        <v>3311</v>
      </c>
      <c r="E32" s="56" t="s">
        <v>3192</v>
      </c>
      <c r="F32" s="56" t="s">
        <v>1491</v>
      </c>
      <c r="G32" s="56" t="s">
        <v>2987</v>
      </c>
      <c r="H32" s="56" t="s">
        <v>716</v>
      </c>
      <c r="I32" s="1" t="s">
        <v>39</v>
      </c>
      <c r="J32" s="1" t="s">
        <v>1475</v>
      </c>
    </row>
    <row r="33">
      <c r="A33" s="175" t="s">
        <v>1470</v>
      </c>
      <c r="B33" s="170" t="str">
        <f>IF(ISBLANK(A33),"",VLOOKUP(A33,DOI_URL!$B$1:$C$74,2,FALSE()))</f>
        <v>https://drive.google.com/file/d/1D5EZ-uP8FTXC_qmBJn8JNXqugjQ-QF33/view?usp=sharing</v>
      </c>
      <c r="C33" s="1" t="s">
        <v>3311</v>
      </c>
      <c r="D33" s="1" t="s">
        <v>3311</v>
      </c>
      <c r="E33" s="56" t="s">
        <v>3428</v>
      </c>
      <c r="F33" s="56" t="s">
        <v>1472</v>
      </c>
      <c r="G33" s="56" t="s">
        <v>1473</v>
      </c>
      <c r="H33" s="56" t="s">
        <v>1474</v>
      </c>
      <c r="I33" s="1" t="s">
        <v>20</v>
      </c>
      <c r="J33" s="1" t="s">
        <v>1475</v>
      </c>
    </row>
    <row r="34">
      <c r="A34" s="175" t="s">
        <v>1470</v>
      </c>
      <c r="B34" s="170" t="str">
        <f>IF(ISBLANK(A34),"",VLOOKUP(A34,DOI_URL!$B$1:$C$74,2,FALSE()))</f>
        <v>https://drive.google.com/file/d/1D5EZ-uP8FTXC_qmBJn8JNXqugjQ-QF33/view?usp=sharing</v>
      </c>
      <c r="C34" s="1" t="s">
        <v>3311</v>
      </c>
      <c r="D34" s="1" t="s">
        <v>3311</v>
      </c>
      <c r="E34" s="56" t="s">
        <v>3428</v>
      </c>
      <c r="F34" s="56" t="s">
        <v>1476</v>
      </c>
      <c r="G34" s="56" t="s">
        <v>1477</v>
      </c>
      <c r="H34" s="56" t="s">
        <v>1478</v>
      </c>
      <c r="I34" s="1" t="s">
        <v>20</v>
      </c>
      <c r="J34" s="1" t="s">
        <v>1475</v>
      </c>
    </row>
    <row r="35">
      <c r="A35" s="175" t="s">
        <v>1470</v>
      </c>
      <c r="B35" s="170" t="str">
        <f>IF(ISBLANK(A35),"",VLOOKUP(A35,DOI_URL!$B$1:$C$74,2,FALSE()))</f>
        <v>https://drive.google.com/file/d/1D5EZ-uP8FTXC_qmBJn8JNXqugjQ-QF33/view?usp=sharing</v>
      </c>
      <c r="C35" s="1" t="s">
        <v>3311</v>
      </c>
      <c r="D35" s="1" t="s">
        <v>3311</v>
      </c>
      <c r="E35" s="56" t="s">
        <v>3429</v>
      </c>
      <c r="F35" s="56" t="s">
        <v>1481</v>
      </c>
      <c r="G35" s="56" t="s">
        <v>1482</v>
      </c>
      <c r="H35" s="56" t="s">
        <v>1483</v>
      </c>
      <c r="I35" s="1" t="s">
        <v>54</v>
      </c>
      <c r="J35" s="1" t="s">
        <v>1475</v>
      </c>
    </row>
    <row r="36">
      <c r="A36" s="175" t="s">
        <v>1470</v>
      </c>
      <c r="B36" s="170" t="str">
        <f>IF(ISBLANK(A36),"",VLOOKUP(A36,DOI_URL!$B$1:$C$74,2,FALSE()))</f>
        <v>https://drive.google.com/file/d/1D5EZ-uP8FTXC_qmBJn8JNXqugjQ-QF33/view?usp=sharing</v>
      </c>
      <c r="C36" s="1" t="s">
        <v>3311</v>
      </c>
      <c r="D36" s="1" t="s">
        <v>3311</v>
      </c>
      <c r="E36" s="56" t="s">
        <v>3429</v>
      </c>
      <c r="F36" s="56" t="s">
        <v>1487</v>
      </c>
      <c r="G36" s="56" t="s">
        <v>1488</v>
      </c>
      <c r="H36" s="56" t="s">
        <v>1489</v>
      </c>
      <c r="I36" s="1" t="s">
        <v>54</v>
      </c>
      <c r="J36" s="1" t="s">
        <v>1475</v>
      </c>
    </row>
    <row r="37">
      <c r="A37" s="175" t="s">
        <v>1470</v>
      </c>
      <c r="B37" s="170" t="str">
        <f>IF(ISBLANK(A37),"",VLOOKUP(A37,DOI_URL!$B$1:$C$74,2,FALSE()))</f>
        <v>https://drive.google.com/file/d/1D5EZ-uP8FTXC_qmBJn8JNXqugjQ-QF33/view?usp=sharing</v>
      </c>
      <c r="C37" s="1" t="s">
        <v>3311</v>
      </c>
      <c r="D37" s="1" t="s">
        <v>3311</v>
      </c>
      <c r="E37" s="56" t="s">
        <v>3429</v>
      </c>
      <c r="F37" s="56" t="s">
        <v>1487</v>
      </c>
      <c r="G37" s="56" t="s">
        <v>1490</v>
      </c>
      <c r="H37" s="56" t="s">
        <v>1489</v>
      </c>
      <c r="I37" s="1" t="s">
        <v>54</v>
      </c>
      <c r="J37" s="1" t="s">
        <v>1475</v>
      </c>
    </row>
    <row r="38">
      <c r="A38" s="175" t="s">
        <v>1470</v>
      </c>
      <c r="B38" s="170" t="str">
        <f>IF(ISBLANK(A38),"",VLOOKUP(A38,DOI_URL!$B$1:$C$74,2,FALSE()))</f>
        <v>https://drive.google.com/file/d/1D5EZ-uP8FTXC_qmBJn8JNXqugjQ-QF33/view?usp=sharing</v>
      </c>
      <c r="C38" s="1" t="s">
        <v>3311</v>
      </c>
      <c r="D38" s="1" t="s">
        <v>3311</v>
      </c>
      <c r="E38" s="56" t="s">
        <v>3429</v>
      </c>
      <c r="F38" s="56" t="s">
        <v>1491</v>
      </c>
      <c r="G38" s="56" t="s">
        <v>1492</v>
      </c>
      <c r="H38" s="56" t="s">
        <v>1493</v>
      </c>
      <c r="I38" s="1" t="s">
        <v>39</v>
      </c>
      <c r="J38" s="1" t="s">
        <v>1475</v>
      </c>
    </row>
    <row r="39">
      <c r="A39" s="175" t="s">
        <v>1470</v>
      </c>
      <c r="B39" s="170" t="str">
        <f>IF(ISBLANK(A39),"",VLOOKUP(A39,DOI_URL!$B$1:$C$74,2,FALSE()))</f>
        <v>https://drive.google.com/file/d/1D5EZ-uP8FTXC_qmBJn8JNXqugjQ-QF33/view?usp=sharing</v>
      </c>
      <c r="C39" s="1" t="s">
        <v>3311</v>
      </c>
      <c r="D39" s="1" t="s">
        <v>3311</v>
      </c>
      <c r="E39" s="56" t="s">
        <v>3430</v>
      </c>
      <c r="F39" s="56" t="s">
        <v>1491</v>
      </c>
      <c r="G39" s="56" t="s">
        <v>2985</v>
      </c>
      <c r="H39" s="56" t="s">
        <v>716</v>
      </c>
      <c r="I39" s="1" t="s">
        <v>54</v>
      </c>
      <c r="J39" s="1" t="s">
        <v>1475</v>
      </c>
    </row>
    <row r="40">
      <c r="A40" s="175" t="s">
        <v>1470</v>
      </c>
      <c r="B40" s="170" t="str">
        <f>IF(ISBLANK(A40),"",VLOOKUP(A40,DOI_URL!$B$1:$C$74,2,FALSE()))</f>
        <v>https://drive.google.com/file/d/1D5EZ-uP8FTXC_qmBJn8JNXqugjQ-QF33/view?usp=sharing</v>
      </c>
      <c r="C40" s="1" t="s">
        <v>3311</v>
      </c>
      <c r="D40" s="1" t="s">
        <v>3311</v>
      </c>
      <c r="E40" s="56" t="s">
        <v>3430</v>
      </c>
      <c r="F40" s="56" t="s">
        <v>1491</v>
      </c>
      <c r="G40" s="56" t="s">
        <v>2986</v>
      </c>
      <c r="H40" s="56" t="s">
        <v>716</v>
      </c>
      <c r="I40" s="1" t="s">
        <v>54</v>
      </c>
      <c r="J40" s="1" t="s">
        <v>1475</v>
      </c>
    </row>
    <row r="41">
      <c r="A41" s="175" t="s">
        <v>1470</v>
      </c>
      <c r="B41" s="170" t="str">
        <f>IF(ISBLANK(A41),"",VLOOKUP(A41,DOI_URL!$B$1:$C$74,2,FALSE()))</f>
        <v>https://drive.google.com/file/d/1D5EZ-uP8FTXC_qmBJn8JNXqugjQ-QF33/view?usp=sharing</v>
      </c>
      <c r="C41" s="1" t="s">
        <v>3311</v>
      </c>
      <c r="D41" s="1" t="s">
        <v>3311</v>
      </c>
      <c r="E41" s="56" t="s">
        <v>3430</v>
      </c>
      <c r="F41" s="56" t="s">
        <v>1491</v>
      </c>
      <c r="G41" s="56" t="s">
        <v>2987</v>
      </c>
      <c r="H41" s="56" t="s">
        <v>716</v>
      </c>
      <c r="I41" s="1" t="s">
        <v>54</v>
      </c>
      <c r="J41" s="1" t="s">
        <v>1475</v>
      </c>
    </row>
    <row r="42">
      <c r="A42" s="175" t="s">
        <v>1423</v>
      </c>
      <c r="B42" s="170" t="str">
        <f>IF(ISBLANK(A42),"",VLOOKUP(A42,DOI_URL!$B$1:$C$74,2,FALSE()))</f>
        <v>https://drive.google.com/file/d/1TGziuvDHBUSoJKgMAm5qwn3z5cByw6T1/view?usp=sharing</v>
      </c>
      <c r="C42" s="1" t="s">
        <v>3311</v>
      </c>
      <c r="D42" s="1" t="s">
        <v>3311</v>
      </c>
      <c r="E42" s="56" t="s">
        <v>3431</v>
      </c>
      <c r="F42" s="56" t="s">
        <v>1426</v>
      </c>
      <c r="G42" s="56" t="s">
        <v>2975</v>
      </c>
      <c r="H42" s="56" t="s">
        <v>1428</v>
      </c>
      <c r="I42" s="1" t="s">
        <v>14</v>
      </c>
      <c r="J42" s="1" t="s">
        <v>289</v>
      </c>
    </row>
    <row r="43">
      <c r="A43" s="175" t="s">
        <v>1423</v>
      </c>
      <c r="B43" s="170" t="str">
        <f>IF(ISBLANK(A43),"",VLOOKUP(A43,DOI_URL!$B$1:$C$74,2,FALSE()))</f>
        <v>https://drive.google.com/file/d/1TGziuvDHBUSoJKgMAm5qwn3z5cByw6T1/view?usp=sharing</v>
      </c>
      <c r="C43" s="1" t="s">
        <v>3311</v>
      </c>
      <c r="D43" s="1" t="s">
        <v>3311</v>
      </c>
      <c r="E43" s="56" t="s">
        <v>3432</v>
      </c>
      <c r="F43" s="56" t="s">
        <v>1431</v>
      </c>
      <c r="G43" s="56" t="s">
        <v>2976</v>
      </c>
      <c r="H43" s="56" t="s">
        <v>2977</v>
      </c>
      <c r="I43" s="1" t="s">
        <v>14</v>
      </c>
      <c r="J43" s="1" t="s">
        <v>289</v>
      </c>
    </row>
    <row r="44">
      <c r="A44" s="175" t="s">
        <v>1423</v>
      </c>
      <c r="B44" s="170" t="str">
        <f>IF(ISBLANK(A44),"",VLOOKUP(A44,DOI_URL!$B$1:$C$74,2,FALSE()))</f>
        <v>https://drive.google.com/file/d/1TGziuvDHBUSoJKgMAm5qwn3z5cByw6T1/view?usp=sharing</v>
      </c>
      <c r="C44" s="1" t="s">
        <v>3311</v>
      </c>
      <c r="D44" s="1" t="s">
        <v>3311</v>
      </c>
      <c r="E44" s="56" t="s">
        <v>3432</v>
      </c>
      <c r="F44" s="56" t="s">
        <v>1434</v>
      </c>
      <c r="G44" s="56" t="s">
        <v>1473</v>
      </c>
      <c r="H44" s="59"/>
      <c r="I44" s="1" t="s">
        <v>14</v>
      </c>
      <c r="J44" s="1" t="s">
        <v>289</v>
      </c>
    </row>
    <row r="45">
      <c r="A45" s="175" t="s">
        <v>1423</v>
      </c>
      <c r="B45" s="170" t="str">
        <f>IF(ISBLANK(A45),"",VLOOKUP(A45,DOI_URL!$B$1:$C$74,2,FALSE()))</f>
        <v>https://drive.google.com/file/d/1TGziuvDHBUSoJKgMAm5qwn3z5cByw6T1/view?usp=sharing</v>
      </c>
      <c r="C45" s="1" t="s">
        <v>3311</v>
      </c>
      <c r="D45" s="1" t="s">
        <v>3311</v>
      </c>
      <c r="E45" s="56" t="s">
        <v>3433</v>
      </c>
      <c r="F45" s="56" t="s">
        <v>1443</v>
      </c>
      <c r="G45" s="56" t="s">
        <v>2952</v>
      </c>
      <c r="H45" s="56" t="s">
        <v>2953</v>
      </c>
      <c r="I45" s="1" t="s">
        <v>54</v>
      </c>
      <c r="J45" s="1" t="s">
        <v>289</v>
      </c>
    </row>
    <row r="46">
      <c r="A46" s="175" t="s">
        <v>1423</v>
      </c>
      <c r="B46" s="170" t="str">
        <f>IF(ISBLANK(A46),"",VLOOKUP(A46,DOI_URL!$B$1:$C$74,2,FALSE()))</f>
        <v>https://drive.google.com/file/d/1TGziuvDHBUSoJKgMAm5qwn3z5cByw6T1/view?usp=sharing</v>
      </c>
      <c r="C46" s="1" t="s">
        <v>3311</v>
      </c>
      <c r="D46" s="1" t="s">
        <v>3311</v>
      </c>
      <c r="E46" s="56" t="s">
        <v>3434</v>
      </c>
      <c r="F46" s="56" t="s">
        <v>1443</v>
      </c>
      <c r="G46" s="56" t="s">
        <v>1444</v>
      </c>
      <c r="H46" s="56" t="s">
        <v>1445</v>
      </c>
      <c r="I46" s="1" t="s">
        <v>54</v>
      </c>
      <c r="J46" s="1" t="s">
        <v>289</v>
      </c>
    </row>
    <row r="47">
      <c r="A47" s="175" t="s">
        <v>1423</v>
      </c>
      <c r="B47" s="170" t="str">
        <f>IF(ISBLANK(A47),"",VLOOKUP(A47,DOI_URL!$B$1:$C$74,2,FALSE()))</f>
        <v>https://drive.google.com/file/d/1TGziuvDHBUSoJKgMAm5qwn3z5cByw6T1/view?usp=sharing</v>
      </c>
      <c r="C47" s="1" t="s">
        <v>3311</v>
      </c>
      <c r="D47" s="1" t="s">
        <v>3311</v>
      </c>
      <c r="E47" s="56" t="s">
        <v>3190</v>
      </c>
      <c r="F47" s="56" t="s">
        <v>2518</v>
      </c>
      <c r="G47" s="56" t="s">
        <v>2960</v>
      </c>
      <c r="H47" s="56" t="s">
        <v>1455</v>
      </c>
      <c r="I47" s="1" t="s">
        <v>39</v>
      </c>
      <c r="J47" s="1" t="s">
        <v>289</v>
      </c>
    </row>
    <row r="48">
      <c r="A48" s="175" t="s">
        <v>1423</v>
      </c>
      <c r="B48" s="170" t="str">
        <f>IF(ISBLANK(A48),"",VLOOKUP(A48,DOI_URL!$B$1:$C$74,2,FALSE()))</f>
        <v>https://drive.google.com/file/d/1TGziuvDHBUSoJKgMAm5qwn3z5cByw6T1/view?usp=sharing</v>
      </c>
      <c r="C48" s="1" t="s">
        <v>3311</v>
      </c>
      <c r="D48" s="1" t="s">
        <v>3311</v>
      </c>
      <c r="E48" s="56" t="s">
        <v>3435</v>
      </c>
      <c r="F48" s="59"/>
      <c r="G48" s="56" t="s">
        <v>2968</v>
      </c>
      <c r="H48" s="56" t="s">
        <v>1455</v>
      </c>
      <c r="I48" s="1" t="s">
        <v>39</v>
      </c>
      <c r="J48" s="1" t="s">
        <v>289</v>
      </c>
    </row>
    <row r="49">
      <c r="A49" s="175" t="s">
        <v>1423</v>
      </c>
      <c r="B49" s="170" t="str">
        <f>IF(ISBLANK(A49),"",VLOOKUP(A49,DOI_URL!$B$1:$C$74,2,FALSE()))</f>
        <v>https://drive.google.com/file/d/1TGziuvDHBUSoJKgMAm5qwn3z5cByw6T1/view?usp=sharing</v>
      </c>
      <c r="C49" s="1" t="s">
        <v>3311</v>
      </c>
      <c r="D49" s="1" t="s">
        <v>3311</v>
      </c>
      <c r="E49" s="56" t="s">
        <v>3436</v>
      </c>
      <c r="F49" s="59"/>
      <c r="G49" s="56" t="s">
        <v>2978</v>
      </c>
      <c r="H49" s="56" t="s">
        <v>1455</v>
      </c>
      <c r="I49" s="1" t="s">
        <v>39</v>
      </c>
      <c r="J49" s="1" t="s">
        <v>289</v>
      </c>
    </row>
    <row r="50">
      <c r="A50" s="175" t="s">
        <v>1423</v>
      </c>
      <c r="B50" s="170" t="str">
        <f>IF(ISBLANK(A50),"",VLOOKUP(A50,DOI_URL!$B$1:$C$74,2,FALSE()))</f>
        <v>https://drive.google.com/file/d/1TGziuvDHBUSoJKgMAm5qwn3z5cByw6T1/view?usp=sharing</v>
      </c>
      <c r="C50" s="1" t="s">
        <v>3311</v>
      </c>
      <c r="D50" s="1" t="s">
        <v>3311</v>
      </c>
      <c r="E50" s="56" t="s">
        <v>3437</v>
      </c>
      <c r="F50" s="59"/>
      <c r="G50" s="56" t="s">
        <v>1457</v>
      </c>
      <c r="H50" s="56" t="s">
        <v>1458</v>
      </c>
      <c r="I50" s="1" t="s">
        <v>39</v>
      </c>
      <c r="J50" s="1" t="s">
        <v>289</v>
      </c>
    </row>
    <row r="51">
      <c r="A51" s="175" t="s">
        <v>1423</v>
      </c>
      <c r="B51" s="170" t="str">
        <f>IF(ISBLANK(A51),"",VLOOKUP(A51,DOI_URL!$B$1:$C$74,2,FALSE()))</f>
        <v>https://drive.google.com/file/d/1TGziuvDHBUSoJKgMAm5qwn3z5cByw6T1/view?usp=sharing</v>
      </c>
      <c r="C51" s="1" t="s">
        <v>3311</v>
      </c>
      <c r="D51" s="1" t="s">
        <v>3311</v>
      </c>
      <c r="E51" s="56" t="s">
        <v>3438</v>
      </c>
      <c r="F51" s="56" t="s">
        <v>2980</v>
      </c>
      <c r="G51" s="56" t="s">
        <v>2981</v>
      </c>
      <c r="H51" s="56" t="s">
        <v>716</v>
      </c>
      <c r="I51" s="1" t="s">
        <v>39</v>
      </c>
      <c r="J51" s="1" t="s">
        <v>289</v>
      </c>
    </row>
    <row r="52">
      <c r="A52" s="175" t="s">
        <v>1423</v>
      </c>
      <c r="B52" s="170" t="str">
        <f>IF(ISBLANK(A52),"",VLOOKUP(A52,DOI_URL!$B$1:$C$74,2,FALSE()))</f>
        <v>https://drive.google.com/file/d/1TGziuvDHBUSoJKgMAm5qwn3z5cByw6T1/view?usp=sharing</v>
      </c>
      <c r="C52" s="1" t="s">
        <v>3311</v>
      </c>
      <c r="D52" s="1" t="s">
        <v>3311</v>
      </c>
      <c r="E52" s="56" t="s">
        <v>3439</v>
      </c>
      <c r="F52" s="59"/>
      <c r="G52" s="56" t="s">
        <v>2982</v>
      </c>
      <c r="H52" s="56" t="s">
        <v>2983</v>
      </c>
      <c r="I52" s="1" t="s">
        <v>44</v>
      </c>
      <c r="J52" s="1" t="s">
        <v>289</v>
      </c>
    </row>
    <row r="53">
      <c r="A53" s="175" t="s">
        <v>1423</v>
      </c>
      <c r="B53" s="170" t="str">
        <f>IF(ISBLANK(A53),"",VLOOKUP(A53,DOI_URL!$B$1:$C$74,2,FALSE()))</f>
        <v>https://drive.google.com/file/d/1TGziuvDHBUSoJKgMAm5qwn3z5cByw6T1/view?usp=sharing</v>
      </c>
      <c r="C53" s="1" t="s">
        <v>3311</v>
      </c>
      <c r="D53" s="1" t="s">
        <v>3311</v>
      </c>
      <c r="E53" s="56" t="s">
        <v>3439</v>
      </c>
      <c r="F53" s="59"/>
      <c r="G53" s="56" t="s">
        <v>1464</v>
      </c>
      <c r="H53" s="56" t="s">
        <v>1996</v>
      </c>
      <c r="I53" s="1" t="s">
        <v>39</v>
      </c>
      <c r="J53" s="1" t="s">
        <v>289</v>
      </c>
    </row>
    <row r="54">
      <c r="A54" s="175" t="s">
        <v>1423</v>
      </c>
      <c r="B54" s="170" t="str">
        <f>IF(ISBLANK(A54),"",VLOOKUP(A54,DOI_URL!$B$1:$C$74,2,FALSE()))</f>
        <v>https://drive.google.com/file/d/1TGziuvDHBUSoJKgMAm5qwn3z5cByw6T1/view?usp=sharing</v>
      </c>
      <c r="C54" s="1" t="s">
        <v>3311</v>
      </c>
      <c r="D54" s="1" t="s">
        <v>3311</v>
      </c>
      <c r="E54" s="56" t="s">
        <v>3440</v>
      </c>
      <c r="F54" s="56" t="s">
        <v>1467</v>
      </c>
      <c r="G54" s="56" t="s">
        <v>1468</v>
      </c>
      <c r="H54" s="56" t="s">
        <v>1469</v>
      </c>
      <c r="I54" s="1" t="s">
        <v>39</v>
      </c>
      <c r="J54" s="1" t="s">
        <v>289</v>
      </c>
    </row>
    <row r="55">
      <c r="A55" s="175" t="s">
        <v>1494</v>
      </c>
      <c r="B55" s="170" t="str">
        <f>IF(ISBLANK(A55),"",VLOOKUP(A55,DOI_URL!$B$1:$C$74,2,FALSE()))</f>
        <v>https://drive.google.com/file/d/1vCZ1Z95iHTJL-SXYG0vC7s-PUDfhT4i1/view?usp=sharing</v>
      </c>
      <c r="C55" s="1" t="s">
        <v>3311</v>
      </c>
      <c r="D55" s="1" t="s">
        <v>3311</v>
      </c>
      <c r="E55" s="56" t="s">
        <v>3441</v>
      </c>
      <c r="F55" s="59"/>
      <c r="G55" s="56" t="s">
        <v>3442</v>
      </c>
      <c r="H55" s="56" t="s">
        <v>1497</v>
      </c>
      <c r="I55" s="1" t="s">
        <v>44</v>
      </c>
      <c r="J55" s="1" t="s">
        <v>1498</v>
      </c>
    </row>
    <row r="56">
      <c r="A56" s="175" t="s">
        <v>1494</v>
      </c>
      <c r="B56" s="170" t="str">
        <f>IF(ISBLANK(A56),"",VLOOKUP(A56,DOI_URL!$B$1:$C$74,2,FALSE()))</f>
        <v>https://drive.google.com/file/d/1vCZ1Z95iHTJL-SXYG0vC7s-PUDfhT4i1/view?usp=sharing</v>
      </c>
      <c r="C56" s="1" t="s">
        <v>3311</v>
      </c>
      <c r="D56" s="1" t="s">
        <v>3311</v>
      </c>
      <c r="E56" s="56" t="s">
        <v>3443</v>
      </c>
      <c r="F56" s="59"/>
      <c r="G56" s="56" t="s">
        <v>2992</v>
      </c>
      <c r="H56" s="56" t="s">
        <v>2993</v>
      </c>
      <c r="I56" s="8"/>
      <c r="J56" s="1" t="s">
        <v>1498</v>
      </c>
    </row>
    <row r="57">
      <c r="A57" s="175" t="s">
        <v>1494</v>
      </c>
      <c r="B57" s="170" t="str">
        <f>IF(ISBLANK(A57),"",VLOOKUP(A57,DOI_URL!$B$1:$C$74,2,FALSE()))</f>
        <v>https://drive.google.com/file/d/1vCZ1Z95iHTJL-SXYG0vC7s-PUDfhT4i1/view?usp=sharing</v>
      </c>
      <c r="C57" s="1" t="s">
        <v>3311</v>
      </c>
      <c r="D57" s="1" t="s">
        <v>3311</v>
      </c>
      <c r="E57" s="56" t="s">
        <v>3444</v>
      </c>
      <c r="F57" s="59"/>
      <c r="G57" s="56" t="s">
        <v>1502</v>
      </c>
      <c r="H57" s="56" t="s">
        <v>2994</v>
      </c>
      <c r="I57" s="1" t="s">
        <v>54</v>
      </c>
      <c r="J57" s="1" t="s">
        <v>1498</v>
      </c>
    </row>
    <row r="58">
      <c r="A58" s="175" t="s">
        <v>1494</v>
      </c>
      <c r="B58" s="170" t="str">
        <f>IF(ISBLANK(A58),"",VLOOKUP(A58,DOI_URL!$B$1:$C$74,2,FALSE()))</f>
        <v>https://drive.google.com/file/d/1vCZ1Z95iHTJL-SXYG0vC7s-PUDfhT4i1/view?usp=sharing</v>
      </c>
      <c r="C58" s="1" t="s">
        <v>3311</v>
      </c>
      <c r="D58" s="1" t="s">
        <v>3311</v>
      </c>
      <c r="E58" s="56" t="s">
        <v>3445</v>
      </c>
      <c r="F58" s="59"/>
      <c r="G58" s="56" t="s">
        <v>2996</v>
      </c>
      <c r="H58" s="59"/>
      <c r="I58" s="1" t="s">
        <v>54</v>
      </c>
      <c r="J58" s="1" t="s">
        <v>1498</v>
      </c>
    </row>
    <row r="59">
      <c r="A59" s="175" t="s">
        <v>1494</v>
      </c>
      <c r="B59" s="170" t="str">
        <f>IF(ISBLANK(A59),"",VLOOKUP(A59,DOI_URL!$B$1:$C$74,2,FALSE()))</f>
        <v>https://drive.google.com/file/d/1vCZ1Z95iHTJL-SXYG0vC7s-PUDfhT4i1/view?usp=sharing</v>
      </c>
      <c r="C59" s="1" t="s">
        <v>3311</v>
      </c>
      <c r="D59" s="1" t="s">
        <v>3311</v>
      </c>
      <c r="E59" s="56" t="s">
        <v>2491</v>
      </c>
      <c r="F59" s="56" t="s">
        <v>2997</v>
      </c>
      <c r="G59" s="56" t="s">
        <v>1505</v>
      </c>
      <c r="H59" s="56" t="s">
        <v>2998</v>
      </c>
      <c r="I59" s="1" t="s">
        <v>54</v>
      </c>
      <c r="J59" s="1" t="s">
        <v>1498</v>
      </c>
    </row>
    <row r="60">
      <c r="A60" s="175" t="s">
        <v>1494</v>
      </c>
      <c r="B60" s="170" t="str">
        <f>IF(ISBLANK(A60),"",VLOOKUP(A60,DOI_URL!$B$1:$C$74,2,FALSE()))</f>
        <v>https://drive.google.com/file/d/1vCZ1Z95iHTJL-SXYG0vC7s-PUDfhT4i1/view?usp=sharing</v>
      </c>
      <c r="C60" s="1" t="s">
        <v>3311</v>
      </c>
      <c r="D60" s="1" t="s">
        <v>3311</v>
      </c>
      <c r="E60" s="56" t="s">
        <v>3446</v>
      </c>
      <c r="F60" s="56" t="s">
        <v>1508</v>
      </c>
      <c r="G60" s="56" t="s">
        <v>1509</v>
      </c>
      <c r="H60" s="56" t="s">
        <v>716</v>
      </c>
      <c r="I60" s="1" t="s">
        <v>39</v>
      </c>
      <c r="J60" s="1" t="s">
        <v>1498</v>
      </c>
    </row>
    <row r="61">
      <c r="A61" s="175" t="s">
        <v>1494</v>
      </c>
      <c r="B61" s="170" t="str">
        <f>IF(ISBLANK(A61),"",VLOOKUP(A61,DOI_URL!$B$1:$C$74,2,FALSE()))</f>
        <v>https://drive.google.com/file/d/1vCZ1Z95iHTJL-SXYG0vC7s-PUDfhT4i1/view?usp=sharing</v>
      </c>
      <c r="C61" s="1" t="s">
        <v>3311</v>
      </c>
      <c r="D61" s="1" t="s">
        <v>3311</v>
      </c>
      <c r="E61" s="56" t="s">
        <v>3447</v>
      </c>
      <c r="F61" s="56" t="s">
        <v>1511</v>
      </c>
      <c r="G61" s="56" t="s">
        <v>3448</v>
      </c>
      <c r="H61" s="56" t="s">
        <v>1513</v>
      </c>
      <c r="I61" s="1" t="s">
        <v>39</v>
      </c>
      <c r="J61" s="1" t="s">
        <v>1498</v>
      </c>
    </row>
    <row r="62">
      <c r="A62" s="175" t="s">
        <v>1494</v>
      </c>
      <c r="B62" s="170" t="str">
        <f>IF(ISBLANK(A62),"",VLOOKUP(A62,DOI_URL!$B$1:$C$74,2,FALSE()))</f>
        <v>https://drive.google.com/file/d/1vCZ1Z95iHTJL-SXYG0vC7s-PUDfhT4i1/view?usp=sharing</v>
      </c>
      <c r="C62" s="1" t="s">
        <v>3311</v>
      </c>
      <c r="D62" s="1" t="s">
        <v>3311</v>
      </c>
      <c r="E62" s="56" t="s">
        <v>3449</v>
      </c>
      <c r="F62" s="56" t="s">
        <v>1511</v>
      </c>
      <c r="G62" s="56" t="s">
        <v>3450</v>
      </c>
      <c r="H62" s="56" t="s">
        <v>1518</v>
      </c>
      <c r="I62" s="1" t="s">
        <v>39</v>
      </c>
      <c r="J62" s="1" t="s">
        <v>1498</v>
      </c>
    </row>
    <row r="63">
      <c r="A63" s="175" t="s">
        <v>1997</v>
      </c>
      <c r="B63" s="170" t="str">
        <f>IF(ISBLANK(A63),"",VLOOKUP(A63,DOI_URL!$B$1:$C$74,2,FALSE()))</f>
        <v>https://drive.google.com/file/d/1sfBXkX4hZgtI9t94E3aRMJvWqkPFIsS3/view?usp=sharing</v>
      </c>
      <c r="C63" s="1" t="s">
        <v>3311</v>
      </c>
      <c r="D63" s="1" t="s">
        <v>3311</v>
      </c>
      <c r="E63" s="56" t="s">
        <v>1998</v>
      </c>
      <c r="F63" s="56" t="s">
        <v>1999</v>
      </c>
      <c r="G63" s="56" t="s">
        <v>2000</v>
      </c>
      <c r="H63" s="56" t="s">
        <v>2001</v>
      </c>
      <c r="I63" s="1" t="s">
        <v>54</v>
      </c>
      <c r="J63" s="1" t="s">
        <v>2002</v>
      </c>
    </row>
    <row r="64">
      <c r="A64" s="175" t="s">
        <v>1997</v>
      </c>
      <c r="B64" s="170" t="str">
        <f>IF(ISBLANK(A64),"",VLOOKUP(A64,DOI_URL!$B$1:$C$74,2,FALSE()))</f>
        <v>https://drive.google.com/file/d/1sfBXkX4hZgtI9t94E3aRMJvWqkPFIsS3/view?usp=sharing</v>
      </c>
      <c r="C64" s="1" t="s">
        <v>3311</v>
      </c>
      <c r="D64" s="1" t="s">
        <v>3311</v>
      </c>
      <c r="E64" s="56" t="s">
        <v>2003</v>
      </c>
      <c r="F64" s="56" t="s">
        <v>2004</v>
      </c>
      <c r="G64" s="56" t="s">
        <v>2005</v>
      </c>
      <c r="H64" s="56" t="s">
        <v>2006</v>
      </c>
      <c r="I64" s="1" t="s">
        <v>54</v>
      </c>
      <c r="J64" s="1" t="s">
        <v>2002</v>
      </c>
    </row>
    <row r="65">
      <c r="A65" s="175" t="s">
        <v>1997</v>
      </c>
      <c r="B65" s="170" t="str">
        <f>IF(ISBLANK(A65),"",VLOOKUP(A65,DOI_URL!$B$1:$C$74,2,FALSE()))</f>
        <v>https://drive.google.com/file/d/1sfBXkX4hZgtI9t94E3aRMJvWqkPFIsS3/view?usp=sharing</v>
      </c>
      <c r="C65" s="1" t="s">
        <v>3311</v>
      </c>
      <c r="D65" s="1" t="s">
        <v>3311</v>
      </c>
      <c r="E65" s="56" t="s">
        <v>2007</v>
      </c>
      <c r="F65" s="56" t="s">
        <v>2008</v>
      </c>
      <c r="G65" s="56" t="s">
        <v>2009</v>
      </c>
      <c r="H65" s="56" t="s">
        <v>2010</v>
      </c>
      <c r="I65" s="1" t="s">
        <v>54</v>
      </c>
      <c r="J65" s="1" t="s">
        <v>2002</v>
      </c>
    </row>
    <row r="66">
      <c r="A66" s="175" t="s">
        <v>1997</v>
      </c>
      <c r="B66" s="170" t="str">
        <f>IF(ISBLANK(A66),"",VLOOKUP(A66,DOI_URL!$B$1:$C$74,2,FALSE()))</f>
        <v>https://drive.google.com/file/d/1sfBXkX4hZgtI9t94E3aRMJvWqkPFIsS3/view?usp=sharing</v>
      </c>
      <c r="C66" s="1" t="s">
        <v>3311</v>
      </c>
      <c r="D66" s="1" t="s">
        <v>3311</v>
      </c>
      <c r="E66" s="56" t="s">
        <v>2011</v>
      </c>
      <c r="F66" s="59"/>
      <c r="G66" s="56" t="s">
        <v>3217</v>
      </c>
      <c r="H66" s="56" t="s">
        <v>2013</v>
      </c>
      <c r="I66" s="1" t="s">
        <v>44</v>
      </c>
      <c r="J66" s="1" t="s">
        <v>2002</v>
      </c>
    </row>
    <row r="67">
      <c r="A67" s="175" t="s">
        <v>1997</v>
      </c>
      <c r="B67" s="170" t="str">
        <f>IF(ISBLANK(A67),"",VLOOKUP(A67,DOI_URL!$B$1:$C$74,2,FALSE()))</f>
        <v>https://drive.google.com/file/d/1sfBXkX4hZgtI9t94E3aRMJvWqkPFIsS3/view?usp=sharing</v>
      </c>
      <c r="C67" s="1" t="s">
        <v>3311</v>
      </c>
      <c r="D67" s="1" t="s">
        <v>3311</v>
      </c>
      <c r="E67" s="56" t="s">
        <v>2011</v>
      </c>
      <c r="F67" s="56" t="s">
        <v>2014</v>
      </c>
      <c r="G67" s="56" t="s">
        <v>2015</v>
      </c>
      <c r="H67" s="56" t="s">
        <v>2016</v>
      </c>
      <c r="I67" s="1" t="s">
        <v>20</v>
      </c>
      <c r="J67" s="1" t="s">
        <v>2002</v>
      </c>
    </row>
    <row r="68">
      <c r="A68" s="175" t="s">
        <v>1997</v>
      </c>
      <c r="B68" s="170" t="str">
        <f>IF(ISBLANK(A68),"",VLOOKUP(A68,DOI_URL!$B$1:$C$74,2,FALSE()))</f>
        <v>https://drive.google.com/file/d/1sfBXkX4hZgtI9t94E3aRMJvWqkPFIsS3/view?usp=sharing</v>
      </c>
      <c r="C68" s="1" t="s">
        <v>3311</v>
      </c>
      <c r="D68" s="1" t="s">
        <v>3311</v>
      </c>
      <c r="E68" s="56" t="s">
        <v>2017</v>
      </c>
      <c r="F68" s="59"/>
      <c r="G68" s="56" t="s">
        <v>2018</v>
      </c>
      <c r="H68" s="56" t="s">
        <v>2019</v>
      </c>
      <c r="I68" s="1" t="s">
        <v>54</v>
      </c>
      <c r="J68" s="1" t="s">
        <v>2002</v>
      </c>
    </row>
    <row r="69">
      <c r="A69" s="175" t="s">
        <v>1997</v>
      </c>
      <c r="B69" s="170" t="str">
        <f>IF(ISBLANK(A69),"",VLOOKUP(A69,DOI_URL!$B$1:$C$74,2,FALSE()))</f>
        <v>https://drive.google.com/file/d/1sfBXkX4hZgtI9t94E3aRMJvWqkPFIsS3/view?usp=sharing</v>
      </c>
      <c r="C69" s="1" t="s">
        <v>3311</v>
      </c>
      <c r="D69" s="1" t="s">
        <v>3311</v>
      </c>
      <c r="E69" s="56" t="s">
        <v>2020</v>
      </c>
      <c r="F69" s="56" t="s">
        <v>1205</v>
      </c>
      <c r="G69" s="56" t="s">
        <v>2978</v>
      </c>
      <c r="H69" s="56" t="s">
        <v>3451</v>
      </c>
      <c r="I69" s="1" t="s">
        <v>39</v>
      </c>
      <c r="J69" s="1" t="s">
        <v>2002</v>
      </c>
    </row>
    <row r="70">
      <c r="A70" s="175" t="s">
        <v>1997</v>
      </c>
      <c r="B70" s="170" t="str">
        <f>IF(ISBLANK(A70),"",VLOOKUP(A70,DOI_URL!$B$1:$C$74,2,FALSE()))</f>
        <v>https://drive.google.com/file/d/1sfBXkX4hZgtI9t94E3aRMJvWqkPFIsS3/view?usp=sharing</v>
      </c>
      <c r="C70" s="1" t="s">
        <v>3311</v>
      </c>
      <c r="D70" s="1" t="s">
        <v>3311</v>
      </c>
      <c r="E70" s="56" t="s">
        <v>2020</v>
      </c>
      <c r="F70" s="56" t="s">
        <v>1205</v>
      </c>
      <c r="G70" s="56" t="s">
        <v>3218</v>
      </c>
      <c r="H70" s="56" t="s">
        <v>716</v>
      </c>
      <c r="I70" s="1" t="s">
        <v>39</v>
      </c>
      <c r="J70" s="1" t="s">
        <v>2002</v>
      </c>
    </row>
    <row r="71">
      <c r="A71" s="175" t="s">
        <v>1997</v>
      </c>
      <c r="B71" s="170" t="str">
        <f>IF(ISBLANK(A71),"",VLOOKUP(A71,DOI_URL!$B$1:$C$74,2,FALSE()))</f>
        <v>https://drive.google.com/file/d/1sfBXkX4hZgtI9t94E3aRMJvWqkPFIsS3/view?usp=sharing</v>
      </c>
      <c r="C71" s="1" t="s">
        <v>3311</v>
      </c>
      <c r="D71" s="1" t="s">
        <v>3311</v>
      </c>
      <c r="E71" s="56" t="s">
        <v>3219</v>
      </c>
      <c r="F71" s="56" t="s">
        <v>1205</v>
      </c>
      <c r="G71" s="56" t="s">
        <v>3220</v>
      </c>
      <c r="H71" s="56" t="s">
        <v>1513</v>
      </c>
      <c r="I71" s="1" t="s">
        <v>39</v>
      </c>
      <c r="J71" s="1" t="s">
        <v>2002</v>
      </c>
    </row>
    <row r="72">
      <c r="A72" s="175" t="s">
        <v>686</v>
      </c>
      <c r="B72" s="170" t="str">
        <f>IF(ISBLANK(A72),"",VLOOKUP(A72,DOI_URL!$B$1:$C$74,2,FALSE()))</f>
        <v>https://drive.google.com/file/d/1XN3ldSHs7plNEs-0B16G2mcO7veqGaQN/view?usp=sharing</v>
      </c>
      <c r="C72" s="1" t="s">
        <v>3311</v>
      </c>
      <c r="D72" s="1" t="s">
        <v>3311</v>
      </c>
      <c r="E72" s="1" t="s">
        <v>2555</v>
      </c>
      <c r="F72" s="1" t="s">
        <v>688</v>
      </c>
      <c r="G72" s="1" t="s">
        <v>689</v>
      </c>
      <c r="H72" s="1" t="s">
        <v>690</v>
      </c>
      <c r="I72" s="1" t="s">
        <v>39</v>
      </c>
      <c r="J72" s="1" t="s">
        <v>691</v>
      </c>
    </row>
    <row r="73">
      <c r="A73" s="175" t="s">
        <v>686</v>
      </c>
      <c r="B73" s="170" t="str">
        <f>IF(ISBLANK(A73),"",VLOOKUP(A73,DOI_URL!$B$1:$C$74,2,FALSE()))</f>
        <v>https://drive.google.com/file/d/1XN3ldSHs7plNEs-0B16G2mcO7veqGaQN/view?usp=sharing</v>
      </c>
      <c r="C73" s="1" t="s">
        <v>3311</v>
      </c>
      <c r="D73" s="1" t="s">
        <v>3311</v>
      </c>
      <c r="E73" s="1" t="s">
        <v>2556</v>
      </c>
      <c r="F73" s="1" t="s">
        <v>688</v>
      </c>
      <c r="G73" s="1" t="s">
        <v>693</v>
      </c>
      <c r="H73" s="1" t="s">
        <v>694</v>
      </c>
      <c r="I73" s="1" t="s">
        <v>39</v>
      </c>
      <c r="J73" s="1" t="s">
        <v>691</v>
      </c>
    </row>
    <row r="74">
      <c r="A74" s="175" t="s">
        <v>686</v>
      </c>
      <c r="B74" s="170" t="str">
        <f>IF(ISBLANK(A74),"",VLOOKUP(A74,DOI_URL!$B$1:$C$74,2,FALSE()))</f>
        <v>https://drive.google.com/file/d/1XN3ldSHs7plNEs-0B16G2mcO7veqGaQN/view?usp=sharing</v>
      </c>
      <c r="C74" s="1" t="s">
        <v>3311</v>
      </c>
      <c r="D74" s="1" t="s">
        <v>3311</v>
      </c>
      <c r="E74" s="1" t="s">
        <v>2557</v>
      </c>
      <c r="F74" s="1" t="s">
        <v>3452</v>
      </c>
      <c r="G74" s="1" t="s">
        <v>696</v>
      </c>
      <c r="I74" s="1" t="s">
        <v>44</v>
      </c>
      <c r="J74" s="1" t="s">
        <v>691</v>
      </c>
    </row>
    <row r="75">
      <c r="A75" s="175" t="s">
        <v>686</v>
      </c>
      <c r="B75" s="170" t="str">
        <f>IF(ISBLANK(A75),"",VLOOKUP(A75,DOI_URL!$B$1:$C$74,2,FALSE()))</f>
        <v>https://drive.google.com/file/d/1XN3ldSHs7plNEs-0B16G2mcO7veqGaQN/view?usp=sharing</v>
      </c>
      <c r="C75" s="1" t="s">
        <v>3311</v>
      </c>
      <c r="D75" s="1" t="s">
        <v>3311</v>
      </c>
      <c r="E75" s="1" t="s">
        <v>2558</v>
      </c>
      <c r="F75" s="1" t="s">
        <v>698</v>
      </c>
      <c r="G75" s="1" t="s">
        <v>699</v>
      </c>
      <c r="H75" s="1" t="s">
        <v>700</v>
      </c>
      <c r="I75" s="1" t="s">
        <v>54</v>
      </c>
      <c r="J75" s="1" t="s">
        <v>691</v>
      </c>
    </row>
    <row r="76">
      <c r="A76" s="175" t="s">
        <v>686</v>
      </c>
      <c r="B76" s="170" t="str">
        <f>IF(ISBLANK(A76),"",VLOOKUP(A76,DOI_URL!$B$1:$C$74,2,FALSE()))</f>
        <v>https://drive.google.com/file/d/1XN3ldSHs7plNEs-0B16G2mcO7veqGaQN/view?usp=sharing</v>
      </c>
      <c r="C76" s="1" t="s">
        <v>3311</v>
      </c>
      <c r="D76" s="1" t="s">
        <v>3311</v>
      </c>
      <c r="E76" s="1" t="s">
        <v>2558</v>
      </c>
      <c r="F76" s="1" t="s">
        <v>698</v>
      </c>
      <c r="G76" s="1" t="s">
        <v>702</v>
      </c>
      <c r="H76" s="1" t="s">
        <v>700</v>
      </c>
      <c r="I76" s="1" t="s">
        <v>54</v>
      </c>
      <c r="J76" s="1" t="s">
        <v>691</v>
      </c>
    </row>
    <row r="77">
      <c r="A77" s="175" t="s">
        <v>686</v>
      </c>
      <c r="B77" s="170" t="str">
        <f>IF(ISBLANK(A77),"",VLOOKUP(A77,DOI_URL!$B$1:$C$74,2,FALSE()))</f>
        <v>https://drive.google.com/file/d/1XN3ldSHs7plNEs-0B16G2mcO7veqGaQN/view?usp=sharing</v>
      </c>
      <c r="C77" s="1" t="s">
        <v>3311</v>
      </c>
      <c r="D77" s="1" t="s">
        <v>3311</v>
      </c>
      <c r="E77" s="1" t="s">
        <v>2558</v>
      </c>
      <c r="F77" s="1" t="s">
        <v>698</v>
      </c>
      <c r="G77" s="1" t="s">
        <v>704</v>
      </c>
      <c r="H77" s="1" t="s">
        <v>700</v>
      </c>
      <c r="I77" s="1" t="s">
        <v>54</v>
      </c>
      <c r="J77" s="1" t="s">
        <v>691</v>
      </c>
    </row>
    <row r="78">
      <c r="A78" s="175" t="s">
        <v>686</v>
      </c>
      <c r="B78" s="170" t="str">
        <f>IF(ISBLANK(A78),"",VLOOKUP(A78,DOI_URL!$B$1:$C$74,2,FALSE()))</f>
        <v>https://drive.google.com/file/d/1XN3ldSHs7plNEs-0B16G2mcO7veqGaQN/view?usp=sharing</v>
      </c>
      <c r="C78" s="1" t="s">
        <v>3311</v>
      </c>
      <c r="D78" s="1" t="s">
        <v>3311</v>
      </c>
      <c r="E78" s="1" t="s">
        <v>2558</v>
      </c>
      <c r="F78" s="1" t="s">
        <v>698</v>
      </c>
      <c r="G78" s="1" t="s">
        <v>2559</v>
      </c>
      <c r="H78" s="1" t="s">
        <v>716</v>
      </c>
      <c r="I78" s="1" t="s">
        <v>39</v>
      </c>
      <c r="J78" s="1" t="s">
        <v>691</v>
      </c>
    </row>
    <row r="79">
      <c r="A79" s="175" t="s">
        <v>686</v>
      </c>
      <c r="B79" s="170" t="str">
        <f>IF(ISBLANK(A79),"",VLOOKUP(A79,DOI_URL!$B$1:$C$74,2,FALSE()))</f>
        <v>https://drive.google.com/file/d/1XN3ldSHs7plNEs-0B16G2mcO7veqGaQN/view?usp=sharing</v>
      </c>
      <c r="C79" s="1" t="s">
        <v>3311</v>
      </c>
      <c r="D79" s="1" t="s">
        <v>3311</v>
      </c>
      <c r="E79" s="1" t="s">
        <v>2558</v>
      </c>
      <c r="F79" s="1" t="s">
        <v>698</v>
      </c>
      <c r="G79" s="1" t="s">
        <v>2561</v>
      </c>
      <c r="H79" s="1" t="s">
        <v>716</v>
      </c>
      <c r="I79" s="1" t="s">
        <v>39</v>
      </c>
      <c r="J79" s="1" t="s">
        <v>691</v>
      </c>
    </row>
    <row r="80">
      <c r="A80" s="175" t="s">
        <v>686</v>
      </c>
      <c r="B80" s="170" t="str">
        <f>IF(ISBLANK(A80),"",VLOOKUP(A80,DOI_URL!$B$1:$C$74,2,FALSE()))</f>
        <v>https://drive.google.com/file/d/1XN3ldSHs7plNEs-0B16G2mcO7veqGaQN/view?usp=sharing</v>
      </c>
      <c r="C80" s="1" t="s">
        <v>3311</v>
      </c>
      <c r="D80" s="1" t="s">
        <v>3311</v>
      </c>
      <c r="E80" s="1" t="s">
        <v>2558</v>
      </c>
      <c r="F80" s="1" t="s">
        <v>698</v>
      </c>
      <c r="G80" s="1" t="s">
        <v>2562</v>
      </c>
      <c r="H80" s="1" t="s">
        <v>716</v>
      </c>
      <c r="I80" s="1" t="s">
        <v>39</v>
      </c>
      <c r="J80" s="1" t="s">
        <v>691</v>
      </c>
    </row>
    <row r="81">
      <c r="A81" s="175" t="s">
        <v>686</v>
      </c>
      <c r="B81" s="170" t="str">
        <f>IF(ISBLANK(A81),"",VLOOKUP(A81,DOI_URL!$B$1:$C$74,2,FALSE()))</f>
        <v>https://drive.google.com/file/d/1XN3ldSHs7plNEs-0B16G2mcO7veqGaQN/view?usp=sharing</v>
      </c>
      <c r="C81" s="1" t="s">
        <v>3311</v>
      </c>
      <c r="D81" s="1" t="s">
        <v>3311</v>
      </c>
      <c r="E81" s="1" t="s">
        <v>2558</v>
      </c>
      <c r="F81" s="1" t="s">
        <v>719</v>
      </c>
      <c r="G81" s="1" t="s">
        <v>720</v>
      </c>
      <c r="H81" s="1" t="s">
        <v>721</v>
      </c>
      <c r="I81" s="1" t="s">
        <v>39</v>
      </c>
      <c r="J81" s="1" t="s">
        <v>691</v>
      </c>
    </row>
    <row r="82">
      <c r="A82" s="175" t="s">
        <v>1519</v>
      </c>
      <c r="B82" s="170" t="str">
        <f>IF(ISBLANK(A82),"",VLOOKUP(A82,DOI_URL!$B$1:$C$74,2,FALSE()))</f>
        <v>https://drive.google.com/file/d/19Vb-fci0-Rn2lwm6Ab-EARLbPK76TFxl/view?usp=sharing</v>
      </c>
      <c r="C82" s="1" t="s">
        <v>3309</v>
      </c>
      <c r="D82" s="8"/>
      <c r="I82" s="8"/>
      <c r="J82" s="8"/>
      <c r="K82" s="1" t="s">
        <v>3453</v>
      </c>
    </row>
    <row r="83">
      <c r="A83" s="1" t="s">
        <v>1057</v>
      </c>
      <c r="B83" s="170" t="str">
        <f>IF(ISBLANK(A83),"",VLOOKUP(A83,DOI_URL!$B$1:$C$74,2,FALSE()))</f>
        <v>https://drive.google.com/file/d/1_tt4zUBmEXgirsvINFnMZb96WQUGwqjz/view?usp=sharing</v>
      </c>
      <c r="C83" s="1" t="s">
        <v>3311</v>
      </c>
      <c r="D83" s="1" t="s">
        <v>3311</v>
      </c>
      <c r="E83" s="1" t="s">
        <v>3454</v>
      </c>
      <c r="F83" s="1" t="s">
        <v>1059</v>
      </c>
      <c r="G83" s="1" t="s">
        <v>2727</v>
      </c>
      <c r="H83" s="1" t="s">
        <v>2710</v>
      </c>
      <c r="I83" s="1" t="s">
        <v>54</v>
      </c>
      <c r="J83" s="1" t="s">
        <v>488</v>
      </c>
    </row>
    <row r="84">
      <c r="A84" s="1" t="s">
        <v>1057</v>
      </c>
      <c r="B84" s="170" t="str">
        <f>IF(ISBLANK(A84),"",VLOOKUP(A84,DOI_URL!$B$1:$C$74,2,FALSE()))</f>
        <v>https://drive.google.com/file/d/1_tt4zUBmEXgirsvINFnMZb96WQUGwqjz/view?usp=sharing</v>
      </c>
      <c r="C84" s="1" t="s">
        <v>3311</v>
      </c>
      <c r="D84" s="1" t="s">
        <v>3311</v>
      </c>
      <c r="E84" s="1" t="s">
        <v>3454</v>
      </c>
      <c r="F84" s="1" t="s">
        <v>1059</v>
      </c>
      <c r="G84" s="1" t="s">
        <v>1062</v>
      </c>
      <c r="H84" s="1" t="s">
        <v>1063</v>
      </c>
      <c r="I84" s="1" t="s">
        <v>54</v>
      </c>
      <c r="J84" s="1" t="s">
        <v>488</v>
      </c>
    </row>
    <row r="85">
      <c r="A85" s="1" t="s">
        <v>1057</v>
      </c>
      <c r="B85" s="170" t="str">
        <f>IF(ISBLANK(A85),"",VLOOKUP(A85,DOI_URL!$B$1:$C$74,2,FALSE()))</f>
        <v>https://drive.google.com/file/d/1_tt4zUBmEXgirsvINFnMZb96WQUGwqjz/view?usp=sharing</v>
      </c>
      <c r="C85" s="1" t="s">
        <v>3311</v>
      </c>
      <c r="D85" s="1" t="s">
        <v>3311</v>
      </c>
      <c r="E85" s="1" t="s">
        <v>3444</v>
      </c>
      <c r="F85" s="1" t="s">
        <v>1036</v>
      </c>
      <c r="G85" s="1" t="s">
        <v>1066</v>
      </c>
      <c r="H85" s="1" t="s">
        <v>1067</v>
      </c>
      <c r="I85" s="1" t="s">
        <v>14</v>
      </c>
      <c r="J85" s="1" t="s">
        <v>488</v>
      </c>
    </row>
    <row r="86">
      <c r="A86" s="1" t="s">
        <v>1057</v>
      </c>
      <c r="B86" s="170" t="str">
        <f>IF(ISBLANK(A86),"",VLOOKUP(A86,DOI_URL!$B$1:$C$74,2,FALSE()))</f>
        <v>https://drive.google.com/file/d/1_tt4zUBmEXgirsvINFnMZb96WQUGwqjz/view?usp=sharing</v>
      </c>
      <c r="C86" s="1" t="s">
        <v>3311</v>
      </c>
      <c r="D86" s="1" t="s">
        <v>3311</v>
      </c>
      <c r="E86" s="1" t="s">
        <v>3445</v>
      </c>
      <c r="F86" s="1" t="s">
        <v>1070</v>
      </c>
      <c r="G86" s="1" t="s">
        <v>1071</v>
      </c>
      <c r="H86" s="1" t="s">
        <v>1072</v>
      </c>
      <c r="I86" s="1" t="s">
        <v>54</v>
      </c>
      <c r="J86" s="1" t="s">
        <v>488</v>
      </c>
    </row>
    <row r="87">
      <c r="A87" s="1" t="s">
        <v>1057</v>
      </c>
      <c r="B87" s="170" t="str">
        <f>IF(ISBLANK(A87),"",VLOOKUP(A87,DOI_URL!$B$1:$C$74,2,FALSE()))</f>
        <v>https://drive.google.com/file/d/1_tt4zUBmEXgirsvINFnMZb96WQUGwqjz/view?usp=sharing</v>
      </c>
      <c r="C87" s="1" t="s">
        <v>3311</v>
      </c>
      <c r="D87" s="1" t="s">
        <v>3311</v>
      </c>
      <c r="E87" s="1" t="s">
        <v>3445</v>
      </c>
      <c r="F87" s="1" t="s">
        <v>1070</v>
      </c>
      <c r="G87" s="1" t="s">
        <v>1074</v>
      </c>
      <c r="H87" s="1" t="s">
        <v>1072</v>
      </c>
      <c r="I87" s="1" t="s">
        <v>54</v>
      </c>
      <c r="J87" s="1" t="s">
        <v>488</v>
      </c>
    </row>
    <row r="88">
      <c r="A88" s="1" t="s">
        <v>1057</v>
      </c>
      <c r="B88" s="170" t="str">
        <f>IF(ISBLANK(A88),"",VLOOKUP(A88,DOI_URL!$B$1:$C$74,2,FALSE()))</f>
        <v>https://drive.google.com/file/d/1_tt4zUBmEXgirsvINFnMZb96WQUGwqjz/view?usp=sharing</v>
      </c>
      <c r="C88" s="1" t="s">
        <v>3311</v>
      </c>
      <c r="D88" s="1" t="s">
        <v>3311</v>
      </c>
      <c r="E88" s="1" t="s">
        <v>3445</v>
      </c>
      <c r="F88" s="1" t="s">
        <v>1070</v>
      </c>
      <c r="G88" s="1" t="s">
        <v>1077</v>
      </c>
      <c r="H88" s="1" t="s">
        <v>1072</v>
      </c>
      <c r="I88" s="1" t="s">
        <v>54</v>
      </c>
      <c r="J88" s="1" t="s">
        <v>488</v>
      </c>
    </row>
    <row r="89">
      <c r="A89" s="1" t="s">
        <v>1057</v>
      </c>
      <c r="B89" s="170" t="str">
        <f>IF(ISBLANK(A89),"",VLOOKUP(A89,DOI_URL!$B$1:$C$74,2,FALSE()))</f>
        <v>https://drive.google.com/file/d/1_tt4zUBmEXgirsvINFnMZb96WQUGwqjz/view?usp=sharing</v>
      </c>
      <c r="C89" s="1" t="s">
        <v>3311</v>
      </c>
      <c r="D89" s="1" t="s">
        <v>3311</v>
      </c>
      <c r="E89" s="1" t="s">
        <v>3455</v>
      </c>
      <c r="F89" s="1" t="s">
        <v>1080</v>
      </c>
      <c r="G89" s="1" t="s">
        <v>1081</v>
      </c>
      <c r="H89" s="1" t="s">
        <v>2724</v>
      </c>
      <c r="I89" s="1" t="s">
        <v>54</v>
      </c>
      <c r="J89" s="1" t="s">
        <v>488</v>
      </c>
    </row>
    <row r="90">
      <c r="A90" s="1" t="s">
        <v>1057</v>
      </c>
      <c r="B90" s="170" t="str">
        <f>IF(ISBLANK(A90),"",VLOOKUP(A90,DOI_URL!$B$1:$C$74,2,FALSE()))</f>
        <v>https://drive.google.com/file/d/1_tt4zUBmEXgirsvINFnMZb96WQUGwqjz/view?usp=sharing</v>
      </c>
      <c r="C90" s="1" t="s">
        <v>3311</v>
      </c>
      <c r="D90" s="1" t="s">
        <v>3311</v>
      </c>
      <c r="E90" s="1" t="s">
        <v>3455</v>
      </c>
      <c r="F90" s="1" t="s">
        <v>1080</v>
      </c>
      <c r="G90" s="1" t="s">
        <v>1083</v>
      </c>
      <c r="H90" s="1" t="s">
        <v>2724</v>
      </c>
      <c r="I90" s="1" t="s">
        <v>54</v>
      </c>
      <c r="J90" s="1" t="s">
        <v>488</v>
      </c>
    </row>
    <row r="91">
      <c r="A91" s="1" t="s">
        <v>1057</v>
      </c>
      <c r="B91" s="170" t="str">
        <f>IF(ISBLANK(A91),"",VLOOKUP(A91,DOI_URL!$B$1:$C$74,2,FALSE()))</f>
        <v>https://drive.google.com/file/d/1_tt4zUBmEXgirsvINFnMZb96WQUGwqjz/view?usp=sharing</v>
      </c>
      <c r="C91" s="1" t="s">
        <v>3311</v>
      </c>
      <c r="D91" s="1" t="s">
        <v>3311</v>
      </c>
      <c r="E91" s="1" t="s">
        <v>3456</v>
      </c>
      <c r="F91" s="1" t="s">
        <v>1086</v>
      </c>
      <c r="G91" s="1" t="s">
        <v>1087</v>
      </c>
      <c r="H91" s="1" t="s">
        <v>1088</v>
      </c>
      <c r="I91" s="1" t="s">
        <v>20</v>
      </c>
      <c r="J91" s="1" t="s">
        <v>488</v>
      </c>
    </row>
    <row r="92">
      <c r="A92" s="1" t="s">
        <v>1057</v>
      </c>
      <c r="B92" s="170" t="str">
        <f>IF(ISBLANK(A92),"",VLOOKUP(A92,DOI_URL!$B$1:$C$74,2,FALSE()))</f>
        <v>https://drive.google.com/file/d/1_tt4zUBmEXgirsvINFnMZb96WQUGwqjz/view?usp=sharing</v>
      </c>
      <c r="C92" s="1" t="s">
        <v>3311</v>
      </c>
      <c r="D92" s="1" t="s">
        <v>3311</v>
      </c>
      <c r="E92" s="1" t="s">
        <v>3456</v>
      </c>
      <c r="F92" s="1" t="s">
        <v>1090</v>
      </c>
      <c r="G92" s="1" t="s">
        <v>2735</v>
      </c>
      <c r="I92" s="1" t="s">
        <v>54</v>
      </c>
      <c r="J92" s="1" t="s">
        <v>488</v>
      </c>
    </row>
    <row r="93">
      <c r="A93" s="1" t="s">
        <v>1057</v>
      </c>
      <c r="B93" s="170" t="str">
        <f>IF(ISBLANK(A93),"",VLOOKUP(A93,DOI_URL!$B$1:$C$74,2,FALSE()))</f>
        <v>https://drive.google.com/file/d/1_tt4zUBmEXgirsvINFnMZb96WQUGwqjz/view?usp=sharing</v>
      </c>
      <c r="C93" s="1" t="s">
        <v>3311</v>
      </c>
      <c r="D93" s="1" t="s">
        <v>3311</v>
      </c>
      <c r="E93" s="1" t="s">
        <v>3456</v>
      </c>
      <c r="F93" s="1" t="s">
        <v>1090</v>
      </c>
      <c r="G93" s="1" t="s">
        <v>1094</v>
      </c>
      <c r="H93" s="1" t="s">
        <v>1095</v>
      </c>
      <c r="I93" s="1" t="s">
        <v>14</v>
      </c>
      <c r="J93" s="1" t="s">
        <v>488</v>
      </c>
    </row>
    <row r="94">
      <c r="A94" s="1" t="s">
        <v>1057</v>
      </c>
      <c r="B94" s="170" t="str">
        <f>IF(ISBLANK(A94),"",VLOOKUP(A94,DOI_URL!$B$1:$C$74,2,FALSE()))</f>
        <v>https://drive.google.com/file/d/1_tt4zUBmEXgirsvINFnMZb96WQUGwqjz/view?usp=sharing</v>
      </c>
      <c r="C94" s="1" t="s">
        <v>3311</v>
      </c>
      <c r="D94" s="1" t="s">
        <v>3311</v>
      </c>
      <c r="E94" s="1" t="s">
        <v>3456</v>
      </c>
      <c r="F94" s="1" t="s">
        <v>1090</v>
      </c>
      <c r="G94" s="1" t="s">
        <v>1096</v>
      </c>
      <c r="I94" s="1" t="s">
        <v>20</v>
      </c>
      <c r="J94" s="1" t="s">
        <v>488</v>
      </c>
    </row>
    <row r="95">
      <c r="A95" s="1" t="s">
        <v>1057</v>
      </c>
      <c r="B95" s="170" t="str">
        <f>IF(ISBLANK(A95),"",VLOOKUP(A95,DOI_URL!$B$1:$C$74,2,FALSE()))</f>
        <v>https://drive.google.com/file/d/1_tt4zUBmEXgirsvINFnMZb96WQUGwqjz/view?usp=sharing</v>
      </c>
      <c r="C95" s="1" t="s">
        <v>3311</v>
      </c>
      <c r="D95" s="1" t="s">
        <v>3311</v>
      </c>
      <c r="E95" s="1" t="s">
        <v>3457</v>
      </c>
      <c r="G95" s="1" t="s">
        <v>2731</v>
      </c>
      <c r="H95" s="1" t="s">
        <v>1103</v>
      </c>
      <c r="I95" s="1" t="s">
        <v>54</v>
      </c>
      <c r="J95" s="1" t="s">
        <v>488</v>
      </c>
    </row>
    <row r="96">
      <c r="A96" s="1" t="s">
        <v>1057</v>
      </c>
      <c r="B96" s="170" t="str">
        <f>IF(ISBLANK(A96),"",VLOOKUP(A96,DOI_URL!$B$1:$C$74,2,FALSE()))</f>
        <v>https://drive.google.com/file/d/1_tt4zUBmEXgirsvINFnMZb96WQUGwqjz/view?usp=sharing</v>
      </c>
      <c r="C96" s="1" t="s">
        <v>3311</v>
      </c>
      <c r="D96" s="1" t="s">
        <v>3311</v>
      </c>
      <c r="E96" s="1" t="s">
        <v>3457</v>
      </c>
      <c r="F96" s="1" t="s">
        <v>1105</v>
      </c>
      <c r="G96" s="1" t="s">
        <v>1106</v>
      </c>
      <c r="H96" s="1" t="s">
        <v>716</v>
      </c>
      <c r="I96" s="1" t="s">
        <v>39</v>
      </c>
      <c r="J96" s="1" t="s">
        <v>488</v>
      </c>
    </row>
    <row r="97">
      <c r="A97" s="1" t="s">
        <v>1057</v>
      </c>
      <c r="B97" s="170" t="str">
        <f>IF(ISBLANK(A97),"",VLOOKUP(A97,DOI_URL!$B$1:$C$74,2,FALSE()))</f>
        <v>https://drive.google.com/file/d/1_tt4zUBmEXgirsvINFnMZb96WQUGwqjz/view?usp=sharing</v>
      </c>
      <c r="C97" s="1" t="s">
        <v>3311</v>
      </c>
      <c r="D97" s="1" t="s">
        <v>3311</v>
      </c>
      <c r="E97" s="1" t="s">
        <v>3458</v>
      </c>
      <c r="F97" s="1" t="s">
        <v>688</v>
      </c>
      <c r="G97" s="1" t="s">
        <v>1108</v>
      </c>
      <c r="H97" s="1" t="s">
        <v>1109</v>
      </c>
      <c r="I97" s="1" t="s">
        <v>39</v>
      </c>
      <c r="J97" s="1" t="s">
        <v>488</v>
      </c>
    </row>
    <row r="98">
      <c r="A98" s="1" t="s">
        <v>1057</v>
      </c>
      <c r="B98" s="170" t="str">
        <f>IF(ISBLANK(A98),"",VLOOKUP(A98,DOI_URL!$B$1:$C$74,2,FALSE()))</f>
        <v>https://drive.google.com/file/d/1_tt4zUBmEXgirsvINFnMZb96WQUGwqjz/view?usp=sharing</v>
      </c>
      <c r="C98" s="1" t="s">
        <v>3311</v>
      </c>
      <c r="D98" s="1" t="s">
        <v>3311</v>
      </c>
      <c r="E98" s="1" t="s">
        <v>3459</v>
      </c>
      <c r="F98" s="1" t="s">
        <v>3460</v>
      </c>
      <c r="G98" s="1" t="s">
        <v>2736</v>
      </c>
      <c r="H98" s="1" t="s">
        <v>1112</v>
      </c>
      <c r="I98" s="1" t="s">
        <v>39</v>
      </c>
      <c r="J98" s="1" t="s">
        <v>488</v>
      </c>
    </row>
    <row r="99">
      <c r="A99" s="1" t="s">
        <v>1240</v>
      </c>
      <c r="B99" s="170" t="str">
        <f>IF(ISBLANK(A99),"",VLOOKUP(A99,DOI_URL!$B$1:$C$74,2,FALSE()))</f>
        <v>https://drive.google.com/file/d/1C0pvlXekKVBZ5rPI2GoKpjNKOaiUzOC2/view?usp=sharing</v>
      </c>
      <c r="C99" s="1" t="s">
        <v>3311</v>
      </c>
      <c r="D99" s="1" t="s">
        <v>3311</v>
      </c>
      <c r="E99" s="1" t="s">
        <v>2479</v>
      </c>
      <c r="F99" s="1" t="s">
        <v>1086</v>
      </c>
      <c r="G99" s="1" t="s">
        <v>1244</v>
      </c>
      <c r="H99" s="1" t="s">
        <v>2813</v>
      </c>
      <c r="I99" s="1" t="s">
        <v>14</v>
      </c>
      <c r="J99" s="1" t="s">
        <v>1246</v>
      </c>
    </row>
    <row r="100">
      <c r="A100" s="1" t="s">
        <v>1240</v>
      </c>
      <c r="B100" s="170" t="str">
        <f>IF(ISBLANK(A100),"",VLOOKUP(A100,DOI_URL!$B$1:$C$74,2,FALSE()))</f>
        <v>https://drive.google.com/file/d/1C0pvlXekKVBZ5rPI2GoKpjNKOaiUzOC2/view?usp=sharing</v>
      </c>
      <c r="C100" s="1" t="s">
        <v>3311</v>
      </c>
      <c r="D100" s="1" t="s">
        <v>3311</v>
      </c>
      <c r="E100" s="1" t="s">
        <v>3444</v>
      </c>
      <c r="F100" s="1" t="s">
        <v>2815</v>
      </c>
      <c r="G100" s="1" t="s">
        <v>1250</v>
      </c>
      <c r="H100" s="1" t="s">
        <v>1251</v>
      </c>
      <c r="I100" s="1" t="s">
        <v>54</v>
      </c>
      <c r="J100" s="1" t="s">
        <v>1246</v>
      </c>
    </row>
    <row r="101">
      <c r="A101" s="1" t="s">
        <v>1240</v>
      </c>
      <c r="B101" s="170" t="str">
        <f>IF(ISBLANK(A101),"",VLOOKUP(A101,DOI_URL!$B$1:$C$74,2,FALSE()))</f>
        <v>https://drive.google.com/file/d/1C0pvlXekKVBZ5rPI2GoKpjNKOaiUzOC2/view?usp=sharing</v>
      </c>
      <c r="C101" s="1" t="s">
        <v>3311</v>
      </c>
      <c r="D101" s="1" t="s">
        <v>3311</v>
      </c>
      <c r="E101" s="1" t="s">
        <v>3444</v>
      </c>
      <c r="G101" s="1" t="s">
        <v>1252</v>
      </c>
      <c r="I101" s="1" t="s">
        <v>54</v>
      </c>
      <c r="J101" s="1" t="s">
        <v>1246</v>
      </c>
    </row>
    <row r="102">
      <c r="A102" s="1" t="s">
        <v>1240</v>
      </c>
      <c r="B102" s="170" t="str">
        <f>IF(ISBLANK(A102),"",VLOOKUP(A102,DOI_URL!$B$1:$C$74,2,FALSE()))</f>
        <v>https://drive.google.com/file/d/1C0pvlXekKVBZ5rPI2GoKpjNKOaiUzOC2/view?usp=sharing</v>
      </c>
      <c r="C102" s="1" t="s">
        <v>3311</v>
      </c>
      <c r="D102" s="1" t="s">
        <v>3311</v>
      </c>
      <c r="E102" s="1" t="s">
        <v>3461</v>
      </c>
      <c r="G102" s="1" t="s">
        <v>1262</v>
      </c>
      <c r="H102" s="1" t="s">
        <v>1103</v>
      </c>
      <c r="I102" s="1" t="s">
        <v>54</v>
      </c>
      <c r="J102" s="1" t="s">
        <v>1246</v>
      </c>
    </row>
    <row r="103">
      <c r="A103" s="1" t="s">
        <v>1240</v>
      </c>
      <c r="B103" s="170" t="str">
        <f>IF(ISBLANK(A103),"",VLOOKUP(A103,DOI_URL!$B$1:$C$74,2,FALSE()))</f>
        <v>https://drive.google.com/file/d/1C0pvlXekKVBZ5rPI2GoKpjNKOaiUzOC2/view?usp=sharing</v>
      </c>
      <c r="C103" s="1" t="s">
        <v>3311</v>
      </c>
      <c r="D103" s="1" t="s">
        <v>3311</v>
      </c>
      <c r="E103" s="1" t="s">
        <v>3456</v>
      </c>
      <c r="F103" s="1" t="s">
        <v>698</v>
      </c>
      <c r="G103" s="1" t="s">
        <v>1264</v>
      </c>
      <c r="H103" s="1" t="s">
        <v>2812</v>
      </c>
      <c r="I103" s="1" t="s">
        <v>14</v>
      </c>
      <c r="J103" s="1" t="s">
        <v>1246</v>
      </c>
    </row>
    <row r="104">
      <c r="A104" s="1" t="s">
        <v>1240</v>
      </c>
      <c r="B104" s="170" t="str">
        <f>IF(ISBLANK(A104),"",VLOOKUP(A104,DOI_URL!$B$1:$C$74,2,FALSE()))</f>
        <v>https://drive.google.com/file/d/1C0pvlXekKVBZ5rPI2GoKpjNKOaiUzOC2/view?usp=sharing</v>
      </c>
      <c r="C104" s="1" t="s">
        <v>3311</v>
      </c>
      <c r="D104" s="1" t="s">
        <v>3311</v>
      </c>
      <c r="E104" s="1" t="s">
        <v>3456</v>
      </c>
      <c r="F104" s="1" t="s">
        <v>698</v>
      </c>
      <c r="G104" s="1" t="s">
        <v>2814</v>
      </c>
      <c r="H104" s="1" t="s">
        <v>1268</v>
      </c>
      <c r="I104" s="1" t="s">
        <v>39</v>
      </c>
      <c r="J104" s="1" t="s">
        <v>1246</v>
      </c>
    </row>
    <row r="105">
      <c r="A105" s="1" t="s">
        <v>1240</v>
      </c>
      <c r="B105" s="170" t="str">
        <f>IF(ISBLANK(A105),"",VLOOKUP(A105,DOI_URL!$B$1:$C$74,2,FALSE()))</f>
        <v>https://drive.google.com/file/d/1C0pvlXekKVBZ5rPI2GoKpjNKOaiUzOC2/view?usp=sharing</v>
      </c>
      <c r="C105" s="1" t="s">
        <v>3311</v>
      </c>
      <c r="D105" s="1" t="s">
        <v>3311</v>
      </c>
      <c r="E105" s="1" t="s">
        <v>3458</v>
      </c>
      <c r="F105" s="1" t="s">
        <v>2816</v>
      </c>
      <c r="G105" s="1" t="s">
        <v>2817</v>
      </c>
      <c r="H105" s="1" t="s">
        <v>716</v>
      </c>
      <c r="I105" s="1" t="s">
        <v>39</v>
      </c>
      <c r="J105" s="1" t="s">
        <v>1246</v>
      </c>
    </row>
    <row r="106">
      <c r="A106" s="1" t="s">
        <v>1240</v>
      </c>
      <c r="B106" s="170" t="str">
        <f>IF(ISBLANK(A106),"",VLOOKUP(A106,DOI_URL!$B$1:$C$74,2,FALSE()))</f>
        <v>https://drive.google.com/file/d/1C0pvlXekKVBZ5rPI2GoKpjNKOaiUzOC2/view?usp=sharing</v>
      </c>
      <c r="C106" s="1" t="s">
        <v>3311</v>
      </c>
      <c r="D106" s="1" t="s">
        <v>3311</v>
      </c>
      <c r="E106" s="1" t="s">
        <v>3458</v>
      </c>
      <c r="F106" s="1" t="s">
        <v>2816</v>
      </c>
      <c r="G106" s="1" t="s">
        <v>2562</v>
      </c>
      <c r="H106" s="1" t="s">
        <v>716</v>
      </c>
      <c r="I106" s="1" t="s">
        <v>39</v>
      </c>
      <c r="J106" s="1" t="s">
        <v>1246</v>
      </c>
    </row>
    <row r="107">
      <c r="A107" s="1" t="s">
        <v>1240</v>
      </c>
      <c r="B107" s="170" t="str">
        <f>IF(ISBLANK(A107),"",VLOOKUP(A107,DOI_URL!$B$1:$C$74,2,FALSE()))</f>
        <v>https://drive.google.com/file/d/1C0pvlXekKVBZ5rPI2GoKpjNKOaiUzOC2/view?usp=sharing</v>
      </c>
      <c r="C107" s="1" t="s">
        <v>3311</v>
      </c>
      <c r="D107" s="1" t="s">
        <v>3311</v>
      </c>
      <c r="E107" s="1" t="s">
        <v>3458</v>
      </c>
      <c r="F107" s="1" t="s">
        <v>2816</v>
      </c>
      <c r="G107" s="1" t="s">
        <v>2561</v>
      </c>
      <c r="H107" s="1" t="s">
        <v>716</v>
      </c>
      <c r="I107" s="1" t="s">
        <v>39</v>
      </c>
      <c r="J107" s="1" t="s">
        <v>1246</v>
      </c>
    </row>
    <row r="108">
      <c r="A108" s="1" t="s">
        <v>1240</v>
      </c>
      <c r="B108" s="170" t="str">
        <f>IF(ISBLANK(A108),"",VLOOKUP(A108,DOI_URL!$B$1:$C$74,2,FALSE()))</f>
        <v>https://drive.google.com/file/d/1C0pvlXekKVBZ5rPI2GoKpjNKOaiUzOC2/view?usp=sharing</v>
      </c>
      <c r="C108" s="1" t="s">
        <v>3311</v>
      </c>
      <c r="D108" s="1" t="s">
        <v>3311</v>
      </c>
      <c r="E108" s="1" t="s">
        <v>3458</v>
      </c>
      <c r="F108" s="1" t="s">
        <v>2816</v>
      </c>
      <c r="G108" s="1" t="s">
        <v>2818</v>
      </c>
      <c r="H108" s="1" t="s">
        <v>716</v>
      </c>
      <c r="I108" s="1" t="s">
        <v>39</v>
      </c>
      <c r="J108" s="1" t="s">
        <v>1246</v>
      </c>
    </row>
    <row r="109">
      <c r="A109" s="1" t="s">
        <v>1240</v>
      </c>
      <c r="B109" s="170" t="str">
        <f>IF(ISBLANK(A109),"",VLOOKUP(A109,DOI_URL!$B$1:$C$74,2,FALSE()))</f>
        <v>https://drive.google.com/file/d/1C0pvlXekKVBZ5rPI2GoKpjNKOaiUzOC2/view?usp=sharing</v>
      </c>
      <c r="C109" s="1" t="s">
        <v>3311</v>
      </c>
      <c r="D109" s="1" t="s">
        <v>3311</v>
      </c>
      <c r="E109" s="1" t="s">
        <v>3462</v>
      </c>
      <c r="F109" s="1" t="s">
        <v>2816</v>
      </c>
      <c r="G109" s="1" t="s">
        <v>1278</v>
      </c>
      <c r="H109" s="1" t="s">
        <v>1279</v>
      </c>
      <c r="I109" s="1" t="s">
        <v>39</v>
      </c>
      <c r="J109" s="1" t="s">
        <v>1246</v>
      </c>
    </row>
    <row r="110">
      <c r="A110" s="1" t="s">
        <v>1240</v>
      </c>
      <c r="B110" s="170" t="str">
        <f>IF(ISBLANK(A110),"",VLOOKUP(A110,DOI_URL!$B$1:$C$74,2,FALSE()))</f>
        <v>https://drive.google.com/file/d/1C0pvlXekKVBZ5rPI2GoKpjNKOaiUzOC2/view?usp=sharing</v>
      </c>
      <c r="C110" s="1" t="s">
        <v>3311</v>
      </c>
      <c r="D110" s="1" t="s">
        <v>3311</v>
      </c>
      <c r="E110" s="1" t="s">
        <v>3463</v>
      </c>
      <c r="F110" s="1" t="s">
        <v>910</v>
      </c>
      <c r="G110" s="1" t="s">
        <v>3464</v>
      </c>
      <c r="H110" s="1" t="s">
        <v>1282</v>
      </c>
      <c r="I110" s="1" t="s">
        <v>39</v>
      </c>
      <c r="J110" s="1" t="s">
        <v>1246</v>
      </c>
    </row>
    <row r="111">
      <c r="A111" s="1" t="s">
        <v>1240</v>
      </c>
      <c r="B111" s="170" t="str">
        <f>IF(ISBLANK(A111),"",VLOOKUP(A111,DOI_URL!$B$1:$C$74,2,FALSE()))</f>
        <v>https://drive.google.com/file/d/1C0pvlXekKVBZ5rPI2GoKpjNKOaiUzOC2/view?usp=sharing</v>
      </c>
      <c r="C111" s="1" t="s">
        <v>3311</v>
      </c>
      <c r="D111" s="1" t="s">
        <v>3311</v>
      </c>
      <c r="E111" s="1" t="s">
        <v>3465</v>
      </c>
      <c r="F111" s="1" t="s">
        <v>1284</v>
      </c>
      <c r="G111" s="1" t="s">
        <v>1285</v>
      </c>
      <c r="H111" s="1" t="s">
        <v>1286</v>
      </c>
      <c r="I111" s="1" t="s">
        <v>39</v>
      </c>
      <c r="J111" s="1" t="s">
        <v>1246</v>
      </c>
    </row>
    <row r="112">
      <c r="A112" s="1" t="s">
        <v>1181</v>
      </c>
      <c r="B112" s="170" t="str">
        <f>IF(ISBLANK(A112),"",VLOOKUP(A112,DOI_URL!$B$1:$C$74,2,FALSE()))</f>
        <v>https://drive.google.com/file/d/1vGo8j6Ju_NDUi5N64ojnnfsvJlLrnO7a/view?usp=sharing</v>
      </c>
      <c r="C112" s="1" t="s">
        <v>3311</v>
      </c>
      <c r="D112" s="1" t="s">
        <v>3311</v>
      </c>
      <c r="E112" s="1" t="s">
        <v>3466</v>
      </c>
      <c r="G112" s="1" t="s">
        <v>2794</v>
      </c>
      <c r="H112" s="1" t="s">
        <v>1185</v>
      </c>
      <c r="I112" s="1" t="s">
        <v>44</v>
      </c>
      <c r="J112" s="1" t="s">
        <v>1186</v>
      </c>
    </row>
    <row r="113">
      <c r="A113" s="1" t="s">
        <v>1181</v>
      </c>
      <c r="B113" s="170" t="str">
        <f>IF(ISBLANK(A113),"",VLOOKUP(A113,DOI_URL!$B$1:$C$74,2,FALSE()))</f>
        <v>https://drive.google.com/file/d/1vGo8j6Ju_NDUi5N64ojnnfsvJlLrnO7a/view?usp=sharing</v>
      </c>
      <c r="C113" s="1" t="s">
        <v>3311</v>
      </c>
      <c r="D113" s="1" t="s">
        <v>3311</v>
      </c>
      <c r="E113" s="1" t="s">
        <v>3467</v>
      </c>
      <c r="G113" s="1" t="s">
        <v>2782</v>
      </c>
      <c r="H113" s="1" t="s">
        <v>2783</v>
      </c>
      <c r="I113" s="1" t="s">
        <v>44</v>
      </c>
      <c r="J113" s="1" t="s">
        <v>1186</v>
      </c>
    </row>
    <row r="114">
      <c r="A114" s="1" t="s">
        <v>1181</v>
      </c>
      <c r="B114" s="170" t="str">
        <f>IF(ISBLANK(A114),"",VLOOKUP(A114,DOI_URL!$B$1:$C$74,2,FALSE()))</f>
        <v>https://drive.google.com/file/d/1vGo8j6Ju_NDUi5N64ojnnfsvJlLrnO7a/view?usp=sharing</v>
      </c>
      <c r="C114" s="1" t="s">
        <v>3311</v>
      </c>
      <c r="D114" s="1" t="s">
        <v>3311</v>
      </c>
      <c r="E114" s="1" t="s">
        <v>3468</v>
      </c>
      <c r="F114" s="1" t="s">
        <v>2796</v>
      </c>
      <c r="G114" s="1" t="s">
        <v>2797</v>
      </c>
      <c r="H114" s="1" t="s">
        <v>2798</v>
      </c>
      <c r="I114" s="1" t="s">
        <v>54</v>
      </c>
      <c r="J114" s="1" t="s">
        <v>1186</v>
      </c>
    </row>
    <row r="115">
      <c r="A115" s="1" t="s">
        <v>1181</v>
      </c>
      <c r="B115" s="170" t="str">
        <f>IF(ISBLANK(A115),"",VLOOKUP(A115,DOI_URL!$B$1:$C$74,2,FALSE()))</f>
        <v>https://drive.google.com/file/d/1vGo8j6Ju_NDUi5N64ojnnfsvJlLrnO7a/view?usp=sharing</v>
      </c>
      <c r="C115" s="1" t="s">
        <v>3311</v>
      </c>
      <c r="D115" s="1" t="s">
        <v>3311</v>
      </c>
      <c r="E115" s="1" t="s">
        <v>3469</v>
      </c>
      <c r="F115" s="1" t="s">
        <v>586</v>
      </c>
      <c r="G115" s="1" t="s">
        <v>2800</v>
      </c>
      <c r="H115" s="1" t="s">
        <v>2801</v>
      </c>
      <c r="I115" s="1" t="s">
        <v>44</v>
      </c>
      <c r="J115" s="1" t="s">
        <v>1186</v>
      </c>
    </row>
    <row r="116">
      <c r="A116" s="1" t="s">
        <v>1181</v>
      </c>
      <c r="B116" s="170" t="str">
        <f>IF(ISBLANK(A116),"",VLOOKUP(A116,DOI_URL!$B$1:$C$74,2,FALSE()))</f>
        <v>https://drive.google.com/file/d/1vGo8j6Ju_NDUi5N64ojnnfsvJlLrnO7a/view?usp=sharing</v>
      </c>
      <c r="C116" s="1" t="s">
        <v>3311</v>
      </c>
      <c r="D116" s="1" t="s">
        <v>3311</v>
      </c>
      <c r="E116" s="1" t="s">
        <v>3470</v>
      </c>
      <c r="F116" s="1" t="s">
        <v>1205</v>
      </c>
      <c r="G116" s="1" t="s">
        <v>1206</v>
      </c>
      <c r="H116" s="1" t="s">
        <v>2789</v>
      </c>
      <c r="I116" s="1" t="s">
        <v>39</v>
      </c>
      <c r="J116" s="1" t="s">
        <v>1186</v>
      </c>
    </row>
    <row r="117">
      <c r="A117" s="1" t="s">
        <v>1181</v>
      </c>
      <c r="B117" s="170" t="str">
        <f>IF(ISBLANK(A117),"",VLOOKUP(A117,DOI_URL!$B$1:$C$74,2,FALSE()))</f>
        <v>https://drive.google.com/file/d/1vGo8j6Ju_NDUi5N64ojnnfsvJlLrnO7a/view?usp=sharing</v>
      </c>
      <c r="C117" s="1" t="s">
        <v>3311</v>
      </c>
      <c r="D117" s="1" t="s">
        <v>3311</v>
      </c>
      <c r="E117" s="1" t="s">
        <v>3471</v>
      </c>
      <c r="F117" s="1" t="s">
        <v>1205</v>
      </c>
      <c r="G117" s="1" t="s">
        <v>2803</v>
      </c>
      <c r="H117" s="1" t="s">
        <v>2790</v>
      </c>
      <c r="I117" s="1" t="s">
        <v>39</v>
      </c>
      <c r="J117" s="1" t="s">
        <v>1186</v>
      </c>
    </row>
    <row r="118">
      <c r="A118" s="1" t="s">
        <v>1181</v>
      </c>
      <c r="B118" s="170" t="str">
        <f>IF(ISBLANK(A118),"",VLOOKUP(A118,DOI_URL!$B$1:$C$74,2,FALSE()))</f>
        <v>https://drive.google.com/file/d/1vGo8j6Ju_NDUi5N64ojnnfsvJlLrnO7a/view?usp=sharing</v>
      </c>
      <c r="C118" s="1" t="s">
        <v>3311</v>
      </c>
      <c r="D118" s="1" t="s">
        <v>3311</v>
      </c>
      <c r="E118" s="1" t="s">
        <v>3472</v>
      </c>
      <c r="F118" s="1" t="s">
        <v>698</v>
      </c>
      <c r="G118" s="1" t="s">
        <v>2804</v>
      </c>
      <c r="H118" s="1" t="s">
        <v>2805</v>
      </c>
      <c r="I118" s="1" t="s">
        <v>54</v>
      </c>
      <c r="J118" s="1" t="s">
        <v>1186</v>
      </c>
    </row>
    <row r="119">
      <c r="A119" s="1" t="s">
        <v>1181</v>
      </c>
      <c r="B119" s="170" t="str">
        <f>IF(ISBLANK(A119),"",VLOOKUP(A119,DOI_URL!$B$1:$C$74,2,FALSE()))</f>
        <v>https://drive.google.com/file/d/1vGo8j6Ju_NDUi5N64ojnnfsvJlLrnO7a/view?usp=sharing</v>
      </c>
      <c r="C119" s="1" t="s">
        <v>3311</v>
      </c>
      <c r="D119" s="1" t="s">
        <v>3311</v>
      </c>
      <c r="E119" s="1" t="s">
        <v>3472</v>
      </c>
      <c r="F119" s="1" t="s">
        <v>698</v>
      </c>
      <c r="G119" s="1" t="s">
        <v>1218</v>
      </c>
      <c r="H119" s="1" t="s">
        <v>1219</v>
      </c>
      <c r="I119" s="1" t="s">
        <v>54</v>
      </c>
      <c r="J119" s="1" t="s">
        <v>1186</v>
      </c>
    </row>
    <row r="120">
      <c r="A120" s="1" t="s">
        <v>1181</v>
      </c>
      <c r="B120" s="170" t="str">
        <f>IF(ISBLANK(A120),"",VLOOKUP(A120,DOI_URL!$B$1:$C$74,2,FALSE()))</f>
        <v>https://drive.google.com/file/d/1vGo8j6Ju_NDUi5N64ojnnfsvJlLrnO7a/view?usp=sharing</v>
      </c>
      <c r="C120" s="1" t="s">
        <v>3311</v>
      </c>
      <c r="D120" s="1" t="s">
        <v>3311</v>
      </c>
      <c r="E120" s="1" t="s">
        <v>3472</v>
      </c>
      <c r="F120" s="1" t="s">
        <v>698</v>
      </c>
      <c r="G120" s="1" t="s">
        <v>1220</v>
      </c>
      <c r="H120" s="1" t="s">
        <v>1221</v>
      </c>
      <c r="I120" s="1" t="s">
        <v>54</v>
      </c>
      <c r="J120" s="1" t="s">
        <v>1186</v>
      </c>
    </row>
    <row r="121">
      <c r="A121" s="1" t="s">
        <v>1181</v>
      </c>
      <c r="B121" s="170" t="str">
        <f>IF(ISBLANK(A121),"",VLOOKUP(A121,DOI_URL!$B$1:$C$74,2,FALSE()))</f>
        <v>https://drive.google.com/file/d/1vGo8j6Ju_NDUi5N64ojnnfsvJlLrnO7a/view?usp=sharing</v>
      </c>
      <c r="C121" s="1" t="s">
        <v>3311</v>
      </c>
      <c r="D121" s="1" t="s">
        <v>3311</v>
      </c>
      <c r="E121" s="1" t="s">
        <v>3472</v>
      </c>
      <c r="F121" s="1" t="s">
        <v>698</v>
      </c>
      <c r="G121" s="1" t="s">
        <v>1222</v>
      </c>
      <c r="H121" s="1" t="s">
        <v>1223</v>
      </c>
      <c r="I121" s="1" t="s">
        <v>54</v>
      </c>
      <c r="J121" s="1" t="s">
        <v>1186</v>
      </c>
    </row>
    <row r="122">
      <c r="A122" s="1" t="s">
        <v>1181</v>
      </c>
      <c r="B122" s="170" t="str">
        <f>IF(ISBLANK(A122),"",VLOOKUP(A122,DOI_URL!$B$1:$C$74,2,FALSE()))</f>
        <v>https://drive.google.com/file/d/1vGo8j6Ju_NDUi5N64ojnnfsvJlLrnO7a/view?usp=sharing</v>
      </c>
      <c r="C122" s="1" t="s">
        <v>3311</v>
      </c>
      <c r="D122" s="1" t="s">
        <v>3311</v>
      </c>
      <c r="E122" s="1" t="s">
        <v>3473</v>
      </c>
      <c r="F122" s="1" t="s">
        <v>1205</v>
      </c>
      <c r="G122" s="1" t="s">
        <v>2562</v>
      </c>
      <c r="H122" s="1" t="s">
        <v>716</v>
      </c>
      <c r="I122" s="1" t="s">
        <v>39</v>
      </c>
      <c r="J122" s="1" t="s">
        <v>1186</v>
      </c>
    </row>
    <row r="123">
      <c r="A123" s="1" t="s">
        <v>1181</v>
      </c>
      <c r="B123" s="170" t="str">
        <f>IF(ISBLANK(A123),"",VLOOKUP(A123,DOI_URL!$B$1:$C$74,2,FALSE()))</f>
        <v>https://drive.google.com/file/d/1vGo8j6Ju_NDUi5N64ojnnfsvJlLrnO7a/view?usp=sharing</v>
      </c>
      <c r="C123" s="1" t="s">
        <v>3311</v>
      </c>
      <c r="D123" s="1" t="s">
        <v>3311</v>
      </c>
      <c r="E123" s="1" t="s">
        <v>3473</v>
      </c>
      <c r="F123" s="1" t="s">
        <v>1205</v>
      </c>
      <c r="G123" s="1" t="s">
        <v>2562</v>
      </c>
      <c r="H123" s="1" t="s">
        <v>716</v>
      </c>
      <c r="I123" s="1" t="s">
        <v>39</v>
      </c>
      <c r="J123" s="1" t="s">
        <v>1186</v>
      </c>
    </row>
    <row r="124">
      <c r="A124" s="1" t="s">
        <v>318</v>
      </c>
      <c r="B124" s="170" t="str">
        <f>IF(ISBLANK(A124),"",VLOOKUP(A124,DOI_URL!$B$1:$C$74,2,FALSE()))</f>
        <v>https://drive.google.com/file/d/18hOu_Vl0iiLBPdw2h2Ey3u--XxLeGKLf/view?usp=sharing</v>
      </c>
      <c r="C124" s="1" t="s">
        <v>3311</v>
      </c>
      <c r="D124" s="1" t="s">
        <v>3311</v>
      </c>
      <c r="E124" s="1" t="s">
        <v>2374</v>
      </c>
      <c r="G124" s="1" t="s">
        <v>2375</v>
      </c>
      <c r="H124" s="1" t="s">
        <v>2376</v>
      </c>
      <c r="I124" s="8"/>
      <c r="J124" s="1" t="s">
        <v>322</v>
      </c>
    </row>
    <row r="125">
      <c r="A125" s="1" t="s">
        <v>318</v>
      </c>
      <c r="B125" s="170" t="str">
        <f>IF(ISBLANK(A125),"",VLOOKUP(A125,DOI_URL!$B$1:$C$74,2,FALSE()))</f>
        <v>https://drive.google.com/file/d/18hOu_Vl0iiLBPdw2h2Ey3u--XxLeGKLf/view?usp=sharing</v>
      </c>
      <c r="C125" s="1" t="s">
        <v>3311</v>
      </c>
      <c r="D125" s="1" t="s">
        <v>3311</v>
      </c>
      <c r="E125" s="1" t="s">
        <v>1998</v>
      </c>
      <c r="F125" s="1" t="s">
        <v>1205</v>
      </c>
      <c r="G125" s="1" t="s">
        <v>2377</v>
      </c>
      <c r="H125" s="1" t="s">
        <v>2378</v>
      </c>
      <c r="I125" s="1" t="s">
        <v>39</v>
      </c>
      <c r="J125" s="1" t="s">
        <v>322</v>
      </c>
    </row>
    <row r="126">
      <c r="A126" s="1" t="s">
        <v>318</v>
      </c>
      <c r="B126" s="170" t="str">
        <f>IF(ISBLANK(A126),"",VLOOKUP(A126,DOI_URL!$B$1:$C$74,2,FALSE()))</f>
        <v>https://drive.google.com/file/d/18hOu_Vl0iiLBPdw2h2Ey3u--XxLeGKLf/view?usp=sharing</v>
      </c>
      <c r="C126" s="1" t="s">
        <v>3311</v>
      </c>
      <c r="D126" s="1" t="s">
        <v>3311</v>
      </c>
      <c r="E126" s="1" t="s">
        <v>1998</v>
      </c>
      <c r="F126" s="1" t="s">
        <v>1205</v>
      </c>
      <c r="G126" s="1" t="s">
        <v>2379</v>
      </c>
      <c r="H126" s="1" t="s">
        <v>2380</v>
      </c>
      <c r="I126" s="1" t="s">
        <v>39</v>
      </c>
      <c r="J126" s="1" t="s">
        <v>322</v>
      </c>
    </row>
    <row r="127">
      <c r="A127" s="1" t="s">
        <v>318</v>
      </c>
      <c r="B127" s="170" t="str">
        <f>IF(ISBLANK(A127),"",VLOOKUP(A127,DOI_URL!$B$1:$C$74,2,FALSE()))</f>
        <v>https://drive.google.com/file/d/18hOu_Vl0iiLBPdw2h2Ey3u--XxLeGKLf/view?usp=sharing</v>
      </c>
      <c r="C127" s="1" t="s">
        <v>3311</v>
      </c>
      <c r="D127" s="1" t="s">
        <v>3311</v>
      </c>
      <c r="E127" s="1" t="s">
        <v>2003</v>
      </c>
      <c r="F127" s="1" t="s">
        <v>1205</v>
      </c>
      <c r="G127" s="1" t="s">
        <v>2381</v>
      </c>
      <c r="H127" s="1" t="s">
        <v>2382</v>
      </c>
      <c r="I127" s="1" t="s">
        <v>39</v>
      </c>
      <c r="J127" s="1" t="s">
        <v>322</v>
      </c>
    </row>
    <row r="128">
      <c r="A128" s="1" t="s">
        <v>284</v>
      </c>
      <c r="B128" s="170" t="str">
        <f>IF(ISBLANK(A128),"",VLOOKUP(A128,DOI_URL!$B$1:$C$74,2,FALSE()))</f>
        <v>https://drive.google.com/file/d/1RzUdAZn-3OjokGBJvFL0vVKQbrh17ONQ/view?usp=sharing</v>
      </c>
      <c r="C128" s="1" t="s">
        <v>3311</v>
      </c>
      <c r="D128" s="1" t="s">
        <v>3311</v>
      </c>
      <c r="E128" s="1" t="s">
        <v>2347</v>
      </c>
      <c r="F128" s="1" t="s">
        <v>1205</v>
      </c>
      <c r="G128" s="1" t="s">
        <v>2348</v>
      </c>
      <c r="H128" s="1" t="s">
        <v>2349</v>
      </c>
      <c r="I128" s="1" t="s">
        <v>39</v>
      </c>
      <c r="J128" s="1" t="s">
        <v>289</v>
      </c>
    </row>
    <row r="129">
      <c r="A129" s="1" t="s">
        <v>284</v>
      </c>
      <c r="B129" s="170" t="str">
        <f>IF(ISBLANK(A129),"",VLOOKUP(A129,DOI_URL!$B$1:$C$74,2,FALSE()))</f>
        <v>https://drive.google.com/file/d/1RzUdAZn-3OjokGBJvFL0vVKQbrh17ONQ/view?usp=sharing</v>
      </c>
      <c r="C129" s="1" t="s">
        <v>3311</v>
      </c>
      <c r="D129" s="1" t="s">
        <v>3311</v>
      </c>
      <c r="E129" s="1" t="s">
        <v>2350</v>
      </c>
      <c r="F129" s="1" t="s">
        <v>1086</v>
      </c>
      <c r="G129" s="1" t="s">
        <v>2351</v>
      </c>
      <c r="H129" s="1" t="s">
        <v>1428</v>
      </c>
      <c r="I129" s="1" t="s">
        <v>14</v>
      </c>
      <c r="J129" s="1" t="s">
        <v>289</v>
      </c>
    </row>
    <row r="130">
      <c r="A130" s="1" t="s">
        <v>284</v>
      </c>
      <c r="B130" s="170" t="str">
        <f>IF(ISBLANK(A130),"",VLOOKUP(A130,DOI_URL!$B$1:$C$74,2,FALSE()))</f>
        <v>https://drive.google.com/file/d/1RzUdAZn-3OjokGBJvFL0vVKQbrh17ONQ/view?usp=sharing</v>
      </c>
      <c r="C130" s="1" t="s">
        <v>3311</v>
      </c>
      <c r="D130" s="1" t="s">
        <v>3311</v>
      </c>
      <c r="E130" s="1" t="s">
        <v>2350</v>
      </c>
      <c r="F130" s="1" t="s">
        <v>1086</v>
      </c>
      <c r="G130" s="1" t="s">
        <v>2352</v>
      </c>
      <c r="H130" s="1" t="s">
        <v>1428</v>
      </c>
      <c r="I130" s="1" t="s">
        <v>14</v>
      </c>
      <c r="J130" s="1" t="s">
        <v>289</v>
      </c>
    </row>
    <row r="131">
      <c r="A131" s="1" t="s">
        <v>284</v>
      </c>
      <c r="B131" s="170" t="str">
        <f>IF(ISBLANK(A131),"",VLOOKUP(A131,DOI_URL!$B$1:$C$74,2,FALSE()))</f>
        <v>https://drive.google.com/file/d/1RzUdAZn-3OjokGBJvFL0vVKQbrh17ONQ/view?usp=sharing</v>
      </c>
      <c r="C131" s="1" t="s">
        <v>3311</v>
      </c>
      <c r="D131" s="1" t="s">
        <v>3311</v>
      </c>
      <c r="E131" s="1" t="s">
        <v>2350</v>
      </c>
      <c r="F131" s="1" t="s">
        <v>1086</v>
      </c>
      <c r="G131" s="1" t="s">
        <v>2353</v>
      </c>
      <c r="H131" s="1" t="s">
        <v>1428</v>
      </c>
      <c r="I131" s="1" t="s">
        <v>14</v>
      </c>
      <c r="J131" s="1" t="s">
        <v>289</v>
      </c>
    </row>
    <row r="132">
      <c r="A132" s="1" t="s">
        <v>284</v>
      </c>
      <c r="B132" s="170" t="str">
        <f>IF(ISBLANK(A132),"",VLOOKUP(A132,DOI_URL!$B$1:$C$74,2,FALSE()))</f>
        <v>https://drive.google.com/file/d/1RzUdAZn-3OjokGBJvFL0vVKQbrh17ONQ/view?usp=sharing</v>
      </c>
      <c r="C132" s="1" t="s">
        <v>3311</v>
      </c>
      <c r="D132" s="1" t="s">
        <v>3311</v>
      </c>
      <c r="E132" s="1" t="s">
        <v>2354</v>
      </c>
      <c r="F132" s="1" t="s">
        <v>1205</v>
      </c>
      <c r="G132" s="1" t="s">
        <v>2355</v>
      </c>
      <c r="H132" s="1" t="s">
        <v>2356</v>
      </c>
      <c r="I132" s="1" t="s">
        <v>39</v>
      </c>
      <c r="J132" s="1" t="s">
        <v>289</v>
      </c>
    </row>
    <row r="133">
      <c r="A133" s="1" t="s">
        <v>284</v>
      </c>
      <c r="B133" s="170" t="str">
        <f>IF(ISBLANK(A133),"",VLOOKUP(A133,DOI_URL!$B$1:$C$74,2,FALSE()))</f>
        <v>https://drive.google.com/file/d/1RzUdAZn-3OjokGBJvFL0vVKQbrh17ONQ/view?usp=sharing</v>
      </c>
      <c r="C133" s="1" t="s">
        <v>3311</v>
      </c>
      <c r="D133" s="1" t="s">
        <v>3311</v>
      </c>
      <c r="E133" s="1" t="s">
        <v>2354</v>
      </c>
      <c r="F133" s="1" t="s">
        <v>1205</v>
      </c>
      <c r="G133" s="1" t="s">
        <v>3474</v>
      </c>
      <c r="H133" s="1" t="s">
        <v>2357</v>
      </c>
      <c r="I133" s="1" t="s">
        <v>39</v>
      </c>
      <c r="J133" s="1" t="s">
        <v>289</v>
      </c>
    </row>
    <row r="134">
      <c r="A134" s="1" t="s">
        <v>284</v>
      </c>
      <c r="B134" s="170" t="str">
        <f>IF(ISBLANK(A134),"",VLOOKUP(A134,DOI_URL!$B$1:$C$74,2,FALSE()))</f>
        <v>https://drive.google.com/file/d/1RzUdAZn-3OjokGBJvFL0vVKQbrh17ONQ/view?usp=sharing</v>
      </c>
      <c r="C134" s="1" t="s">
        <v>3311</v>
      </c>
      <c r="D134" s="1" t="s">
        <v>3311</v>
      </c>
      <c r="E134" s="1" t="s">
        <v>2358</v>
      </c>
      <c r="F134" s="1" t="s">
        <v>1551</v>
      </c>
      <c r="G134" s="1" t="s">
        <v>1688</v>
      </c>
      <c r="H134" s="1" t="s">
        <v>1553</v>
      </c>
      <c r="I134" s="1" t="s">
        <v>39</v>
      </c>
      <c r="J134" s="1" t="s">
        <v>289</v>
      </c>
    </row>
    <row r="135">
      <c r="A135" s="1" t="s">
        <v>1520</v>
      </c>
      <c r="B135" s="170" t="str">
        <f>IF(ISBLANK(A135),"",VLOOKUP(A135,DOI_URL!$B$1:$C$74,2,FALSE()))</f>
        <v>https://drive.google.com/file/d/11Qm0o3ST2VDTbqiO_k1czLAuca-8mgrO/view?usp=sharing</v>
      </c>
      <c r="C135" s="1" t="s">
        <v>3311</v>
      </c>
      <c r="D135" s="1" t="s">
        <v>3311</v>
      </c>
      <c r="E135" s="1" t="s">
        <v>3475</v>
      </c>
      <c r="G135" s="1" t="s">
        <v>3004</v>
      </c>
      <c r="H135" s="1" t="s">
        <v>1527</v>
      </c>
      <c r="I135" s="1" t="s">
        <v>44</v>
      </c>
      <c r="J135" s="1" t="s">
        <v>1522</v>
      </c>
    </row>
    <row r="136">
      <c r="A136" s="1" t="s">
        <v>1520</v>
      </c>
      <c r="B136" s="170" t="str">
        <f>IF(ISBLANK(A136),"",VLOOKUP(A136,DOI_URL!$B$1:$C$74,2,FALSE()))</f>
        <v>https://drive.google.com/file/d/11Qm0o3ST2VDTbqiO_k1czLAuca-8mgrO/view?usp=sharing</v>
      </c>
      <c r="C136" s="1" t="s">
        <v>3311</v>
      </c>
      <c r="D136" s="1" t="s">
        <v>3311</v>
      </c>
      <c r="E136" s="1" t="s">
        <v>3476</v>
      </c>
      <c r="F136" s="1" t="s">
        <v>1086</v>
      </c>
      <c r="G136" s="1" t="s">
        <v>1529</v>
      </c>
      <c r="H136" s="1" t="s">
        <v>1530</v>
      </c>
      <c r="I136" s="1" t="s">
        <v>20</v>
      </c>
      <c r="J136" s="1" t="s">
        <v>1522</v>
      </c>
    </row>
    <row r="137">
      <c r="A137" s="1" t="s">
        <v>1520</v>
      </c>
      <c r="B137" s="170" t="str">
        <f>IF(ISBLANK(A137),"",VLOOKUP(A137,DOI_URL!$B$1:$C$74,2,FALSE()))</f>
        <v>https://drive.google.com/file/d/11Qm0o3ST2VDTbqiO_k1czLAuca-8mgrO/view?usp=sharing</v>
      </c>
      <c r="C137" s="1" t="s">
        <v>3311</v>
      </c>
      <c r="D137" s="1" t="s">
        <v>3311</v>
      </c>
      <c r="E137" s="1" t="s">
        <v>3477</v>
      </c>
      <c r="F137" s="1" t="s">
        <v>698</v>
      </c>
      <c r="G137" s="1" t="s">
        <v>1532</v>
      </c>
      <c r="H137" s="1" t="s">
        <v>1533</v>
      </c>
      <c r="I137" s="1" t="s">
        <v>54</v>
      </c>
      <c r="J137" s="1" t="s">
        <v>1522</v>
      </c>
    </row>
    <row r="138">
      <c r="A138" s="1" t="s">
        <v>1520</v>
      </c>
      <c r="B138" s="170" t="str">
        <f>IF(ISBLANK(A138),"",VLOOKUP(A138,DOI_URL!$B$1:$C$74,2,FALSE()))</f>
        <v>https://drive.google.com/file/d/11Qm0o3ST2VDTbqiO_k1czLAuca-8mgrO/view?usp=sharing</v>
      </c>
      <c r="C138" s="1" t="s">
        <v>3311</v>
      </c>
      <c r="D138" s="1" t="s">
        <v>3311</v>
      </c>
      <c r="E138" s="1" t="s">
        <v>3477</v>
      </c>
      <c r="F138" s="1" t="s">
        <v>1535</v>
      </c>
      <c r="G138" s="1" t="s">
        <v>1536</v>
      </c>
      <c r="H138" s="1" t="s">
        <v>1537</v>
      </c>
      <c r="I138" s="1" t="s">
        <v>54</v>
      </c>
      <c r="J138" s="1" t="s">
        <v>1522</v>
      </c>
    </row>
    <row r="139">
      <c r="A139" s="1" t="s">
        <v>1520</v>
      </c>
      <c r="B139" s="170" t="str">
        <f>IF(ISBLANK(A139),"",VLOOKUP(A139,DOI_URL!$B$1:$C$74,2,FALSE()))</f>
        <v>https://drive.google.com/file/d/11Qm0o3ST2VDTbqiO_k1czLAuca-8mgrO/view?usp=sharing</v>
      </c>
      <c r="C139" s="1" t="s">
        <v>3311</v>
      </c>
      <c r="D139" s="1" t="s">
        <v>3311</v>
      </c>
      <c r="E139" s="1" t="s">
        <v>3477</v>
      </c>
      <c r="F139" s="1" t="s">
        <v>1535</v>
      </c>
      <c r="G139" s="1" t="s">
        <v>702</v>
      </c>
      <c r="H139" s="1" t="s">
        <v>1537</v>
      </c>
      <c r="I139" s="1" t="s">
        <v>54</v>
      </c>
      <c r="J139" s="1" t="s">
        <v>1522</v>
      </c>
    </row>
    <row r="140">
      <c r="A140" s="1" t="s">
        <v>1520</v>
      </c>
      <c r="B140" s="170" t="str">
        <f>IF(ISBLANK(A140),"",VLOOKUP(A140,DOI_URL!$B$1:$C$74,2,FALSE()))</f>
        <v>https://drive.google.com/file/d/11Qm0o3ST2VDTbqiO_k1czLAuca-8mgrO/view?usp=sharing</v>
      </c>
      <c r="C140" s="1" t="s">
        <v>3311</v>
      </c>
      <c r="D140" s="1" t="s">
        <v>3311</v>
      </c>
      <c r="E140" s="1" t="s">
        <v>3477</v>
      </c>
      <c r="F140" s="1" t="s">
        <v>1535</v>
      </c>
      <c r="G140" s="1" t="s">
        <v>1541</v>
      </c>
      <c r="H140" s="1" t="s">
        <v>1537</v>
      </c>
      <c r="I140" s="1" t="s">
        <v>54</v>
      </c>
      <c r="J140" s="1" t="s">
        <v>1522</v>
      </c>
    </row>
    <row r="141">
      <c r="A141" s="1" t="s">
        <v>1520</v>
      </c>
      <c r="B141" s="170" t="str">
        <f>IF(ISBLANK(A141),"",VLOOKUP(A141,DOI_URL!$B$1:$C$74,2,FALSE()))</f>
        <v>https://drive.google.com/file/d/11Qm0o3ST2VDTbqiO_k1czLAuca-8mgrO/view?usp=sharing</v>
      </c>
      <c r="C141" s="1" t="s">
        <v>3311</v>
      </c>
      <c r="D141" s="1" t="s">
        <v>3311</v>
      </c>
      <c r="E141" s="1" t="s">
        <v>3477</v>
      </c>
      <c r="F141" s="1" t="s">
        <v>1535</v>
      </c>
      <c r="G141" s="1" t="s">
        <v>1539</v>
      </c>
      <c r="H141" s="1" t="s">
        <v>1537</v>
      </c>
      <c r="I141" s="1" t="s">
        <v>54</v>
      </c>
      <c r="J141" s="1" t="s">
        <v>1522</v>
      </c>
    </row>
    <row r="142">
      <c r="A142" s="1" t="s">
        <v>1520</v>
      </c>
      <c r="B142" s="170" t="str">
        <f>IF(ISBLANK(A142),"",VLOOKUP(A142,DOI_URL!$B$1:$C$74,2,FALSE()))</f>
        <v>https://drive.google.com/file/d/11Qm0o3ST2VDTbqiO_k1czLAuca-8mgrO/view?usp=sharing</v>
      </c>
      <c r="C142" s="1" t="s">
        <v>3311</v>
      </c>
      <c r="D142" s="1" t="s">
        <v>3311</v>
      </c>
      <c r="E142" s="1" t="s">
        <v>3477</v>
      </c>
      <c r="F142" s="1" t="s">
        <v>1535</v>
      </c>
      <c r="G142" s="1" t="s">
        <v>1543</v>
      </c>
      <c r="H142" s="1" t="s">
        <v>1537</v>
      </c>
      <c r="I142" s="1" t="s">
        <v>54</v>
      </c>
      <c r="J142" s="1" t="s">
        <v>1522</v>
      </c>
    </row>
    <row r="143">
      <c r="A143" s="1" t="s">
        <v>1520</v>
      </c>
      <c r="B143" s="170" t="str">
        <f>IF(ISBLANK(A143),"",VLOOKUP(A143,DOI_URL!$B$1:$C$74,2,FALSE()))</f>
        <v>https://drive.google.com/file/d/11Qm0o3ST2VDTbqiO_k1czLAuca-8mgrO/view?usp=sharing</v>
      </c>
      <c r="C143" s="1" t="s">
        <v>3311</v>
      </c>
      <c r="D143" s="1" t="s">
        <v>3311</v>
      </c>
      <c r="E143" s="1" t="s">
        <v>3478</v>
      </c>
      <c r="F143" s="1" t="s">
        <v>1205</v>
      </c>
      <c r="G143" s="1" t="s">
        <v>2561</v>
      </c>
      <c r="H143" s="1" t="s">
        <v>716</v>
      </c>
      <c r="I143" s="1" t="s">
        <v>39</v>
      </c>
      <c r="J143" s="1" t="s">
        <v>1522</v>
      </c>
    </row>
    <row r="144">
      <c r="A144" s="1" t="s">
        <v>1520</v>
      </c>
      <c r="B144" s="170" t="str">
        <f>IF(ISBLANK(A144),"",VLOOKUP(A144,DOI_URL!$B$1:$C$74,2,FALSE()))</f>
        <v>https://drive.google.com/file/d/11Qm0o3ST2VDTbqiO_k1czLAuca-8mgrO/view?usp=sharing</v>
      </c>
      <c r="C144" s="1" t="s">
        <v>3311</v>
      </c>
      <c r="D144" s="1" t="s">
        <v>3311</v>
      </c>
      <c r="E144" s="1" t="s">
        <v>3478</v>
      </c>
      <c r="F144" s="1" t="s">
        <v>1205</v>
      </c>
      <c r="G144" s="1" t="s">
        <v>2562</v>
      </c>
      <c r="H144" s="1" t="s">
        <v>716</v>
      </c>
      <c r="I144" s="1" t="s">
        <v>39</v>
      </c>
      <c r="J144" s="1" t="s">
        <v>1522</v>
      </c>
    </row>
    <row r="145">
      <c r="A145" s="1" t="s">
        <v>1520</v>
      </c>
      <c r="B145" s="170" t="str">
        <f>IF(ISBLANK(A145),"",VLOOKUP(A145,DOI_URL!$B$1:$C$74,2,FALSE()))</f>
        <v>https://drive.google.com/file/d/11Qm0o3ST2VDTbqiO_k1czLAuca-8mgrO/view?usp=sharing</v>
      </c>
      <c r="C145" s="1" t="s">
        <v>3311</v>
      </c>
      <c r="D145" s="1" t="s">
        <v>3311</v>
      </c>
      <c r="E145" s="1" t="s">
        <v>3478</v>
      </c>
      <c r="F145" s="1" t="s">
        <v>1205</v>
      </c>
      <c r="G145" s="1" t="s">
        <v>3006</v>
      </c>
      <c r="H145" s="1" t="s">
        <v>716</v>
      </c>
      <c r="I145" s="1" t="s">
        <v>39</v>
      </c>
      <c r="J145" s="1" t="s">
        <v>1522</v>
      </c>
    </row>
    <row r="146">
      <c r="A146" s="1" t="s">
        <v>1520</v>
      </c>
      <c r="B146" s="170" t="str">
        <f>IF(ISBLANK(A146),"",VLOOKUP(A146,DOI_URL!$B$1:$C$74,2,FALSE()))</f>
        <v>https://drive.google.com/file/d/11Qm0o3ST2VDTbqiO_k1czLAuca-8mgrO/view?usp=sharing</v>
      </c>
      <c r="C146" s="1" t="s">
        <v>3311</v>
      </c>
      <c r="D146" s="1" t="s">
        <v>3311</v>
      </c>
      <c r="E146" s="1" t="s">
        <v>3478</v>
      </c>
      <c r="F146" s="1" t="s">
        <v>1205</v>
      </c>
      <c r="G146" s="1" t="s">
        <v>3007</v>
      </c>
      <c r="H146" s="1" t="s">
        <v>3008</v>
      </c>
      <c r="I146" s="1" t="s">
        <v>39</v>
      </c>
      <c r="J146" s="1" t="s">
        <v>1522</v>
      </c>
    </row>
    <row r="147">
      <c r="A147" s="1" t="s">
        <v>1520</v>
      </c>
      <c r="B147" s="170" t="str">
        <f>IF(ISBLANK(A147),"",VLOOKUP(A147,DOI_URL!$B$1:$C$74,2,FALSE()))</f>
        <v>https://drive.google.com/file/d/11Qm0o3ST2VDTbqiO_k1czLAuca-8mgrO/view?usp=sharing</v>
      </c>
      <c r="C147" s="1" t="s">
        <v>3311</v>
      </c>
      <c r="D147" s="1" t="s">
        <v>3311</v>
      </c>
      <c r="E147" s="1" t="s">
        <v>3479</v>
      </c>
      <c r="F147" s="1" t="s">
        <v>1551</v>
      </c>
      <c r="G147" s="1" t="s">
        <v>1552</v>
      </c>
      <c r="H147" s="1" t="s">
        <v>1553</v>
      </c>
      <c r="I147" s="1" t="s">
        <v>39</v>
      </c>
      <c r="J147" s="1" t="s">
        <v>1522</v>
      </c>
    </row>
    <row r="148">
      <c r="A148" s="1" t="s">
        <v>1557</v>
      </c>
      <c r="B148" s="170" t="str">
        <f>IF(ISBLANK(A148),"",VLOOKUP(A148,DOI_URL!$B$1:$C$74,2,FALSE()))</f>
        <v>https://drive.google.com/file/d/1zYAcrwzS3KL_ErwBKdhjPSm1fm4sPcP9/view?usp=sharing</v>
      </c>
      <c r="C148" s="1" t="s">
        <v>3311</v>
      </c>
      <c r="D148" s="1" t="s">
        <v>3311</v>
      </c>
      <c r="E148" s="1" t="s">
        <v>3480</v>
      </c>
      <c r="G148" s="1" t="s">
        <v>1559</v>
      </c>
      <c r="H148" s="1" t="s">
        <v>1527</v>
      </c>
      <c r="I148" s="1" t="s">
        <v>44</v>
      </c>
      <c r="J148" s="1" t="s">
        <v>1560</v>
      </c>
    </row>
    <row r="149">
      <c r="A149" s="1" t="s">
        <v>1557</v>
      </c>
      <c r="B149" s="170" t="str">
        <f>IF(ISBLANK(A149),"",VLOOKUP(A149,DOI_URL!$B$1:$C$74,2,FALSE()))</f>
        <v>https://drive.google.com/file/d/1zYAcrwzS3KL_ErwBKdhjPSm1fm4sPcP9/view?usp=sharing</v>
      </c>
      <c r="C149" s="1" t="s">
        <v>3311</v>
      </c>
      <c r="D149" s="1" t="s">
        <v>3311</v>
      </c>
      <c r="E149" s="1" t="s">
        <v>3481</v>
      </c>
      <c r="F149" s="1" t="s">
        <v>170</v>
      </c>
      <c r="G149" s="1" t="s">
        <v>1571</v>
      </c>
      <c r="H149" s="1" t="s">
        <v>1572</v>
      </c>
      <c r="I149" s="1" t="s">
        <v>3482</v>
      </c>
      <c r="J149" s="1" t="s">
        <v>1560</v>
      </c>
    </row>
    <row r="150">
      <c r="A150" s="1" t="s">
        <v>1557</v>
      </c>
      <c r="B150" s="170" t="str">
        <f>IF(ISBLANK(A150),"",VLOOKUP(A150,DOI_URL!$B$1:$C$74,2,FALSE()))</f>
        <v>https://drive.google.com/file/d/1zYAcrwzS3KL_ErwBKdhjPSm1fm4sPcP9/view?usp=sharing</v>
      </c>
      <c r="C150" s="1" t="s">
        <v>3311</v>
      </c>
      <c r="D150" s="1" t="s">
        <v>3311</v>
      </c>
      <c r="E150" s="1" t="s">
        <v>3481</v>
      </c>
      <c r="F150" s="1" t="s">
        <v>170</v>
      </c>
      <c r="G150" s="1" t="s">
        <v>1573</v>
      </c>
      <c r="H150" s="1" t="s">
        <v>1574</v>
      </c>
      <c r="I150" s="1" t="s">
        <v>14</v>
      </c>
      <c r="J150" s="1" t="s">
        <v>1560</v>
      </c>
    </row>
    <row r="151">
      <c r="A151" s="1" t="s">
        <v>1557</v>
      </c>
      <c r="B151" s="170" t="str">
        <f>IF(ISBLANK(A151),"",VLOOKUP(A151,DOI_URL!$B$1:$C$74,2,FALSE()))</f>
        <v>https://drive.google.com/file/d/1zYAcrwzS3KL_ErwBKdhjPSm1fm4sPcP9/view?usp=sharing</v>
      </c>
      <c r="C151" s="1" t="s">
        <v>3311</v>
      </c>
      <c r="D151" s="1" t="s">
        <v>3311</v>
      </c>
      <c r="E151" s="1" t="s">
        <v>3483</v>
      </c>
      <c r="F151" s="1" t="s">
        <v>698</v>
      </c>
      <c r="G151" s="1" t="s">
        <v>3017</v>
      </c>
      <c r="H151" s="1" t="s">
        <v>3018</v>
      </c>
      <c r="I151" s="1" t="s">
        <v>54</v>
      </c>
      <c r="J151" s="1" t="s">
        <v>1560</v>
      </c>
    </row>
    <row r="152">
      <c r="A152" s="1" t="s">
        <v>1557</v>
      </c>
      <c r="B152" s="170" t="str">
        <f>IF(ISBLANK(A152),"",VLOOKUP(A152,DOI_URL!$B$1:$C$74,2,FALSE()))</f>
        <v>https://drive.google.com/file/d/1zYAcrwzS3KL_ErwBKdhjPSm1fm4sPcP9/view?usp=sharing</v>
      </c>
      <c r="C152" s="1" t="s">
        <v>3311</v>
      </c>
      <c r="D152" s="1" t="s">
        <v>3311</v>
      </c>
      <c r="E152" s="1" t="s">
        <v>3483</v>
      </c>
      <c r="G152" s="1" t="s">
        <v>1576</v>
      </c>
      <c r="H152" s="1" t="s">
        <v>1577</v>
      </c>
      <c r="I152" s="1" t="s">
        <v>54</v>
      </c>
      <c r="J152" s="1" t="s">
        <v>1560</v>
      </c>
    </row>
    <row r="153">
      <c r="A153" s="1" t="s">
        <v>1557</v>
      </c>
      <c r="B153" s="170" t="str">
        <f>IF(ISBLANK(A153),"",VLOOKUP(A153,DOI_URL!$B$1:$C$74,2,FALSE()))</f>
        <v>https://drive.google.com/file/d/1zYAcrwzS3KL_ErwBKdhjPSm1fm4sPcP9/view?usp=sharing</v>
      </c>
      <c r="C153" s="1" t="s">
        <v>3311</v>
      </c>
      <c r="D153" s="1" t="s">
        <v>3311</v>
      </c>
      <c r="E153" s="1" t="s">
        <v>3483</v>
      </c>
      <c r="G153" s="1" t="s">
        <v>1578</v>
      </c>
      <c r="H153" s="1" t="s">
        <v>1579</v>
      </c>
      <c r="I153" s="1" t="s">
        <v>54</v>
      </c>
      <c r="J153" s="1" t="s">
        <v>1560</v>
      </c>
    </row>
    <row r="154">
      <c r="A154" s="1" t="s">
        <v>1557</v>
      </c>
      <c r="B154" s="170" t="str">
        <f>IF(ISBLANK(A154),"",VLOOKUP(A154,DOI_URL!$B$1:$C$74,2,FALSE()))</f>
        <v>https://drive.google.com/file/d/1zYAcrwzS3KL_ErwBKdhjPSm1fm4sPcP9/view?usp=sharing</v>
      </c>
      <c r="C154" s="1" t="s">
        <v>3311</v>
      </c>
      <c r="D154" s="1" t="s">
        <v>3311</v>
      </c>
      <c r="E154" s="1" t="s">
        <v>3483</v>
      </c>
      <c r="G154" s="1" t="s">
        <v>1218</v>
      </c>
      <c r="H154" s="1" t="s">
        <v>1580</v>
      </c>
      <c r="I154" s="1" t="s">
        <v>54</v>
      </c>
      <c r="J154" s="1" t="s">
        <v>1560</v>
      </c>
    </row>
    <row r="155">
      <c r="A155" s="1" t="s">
        <v>1557</v>
      </c>
      <c r="B155" s="170" t="str">
        <f>IF(ISBLANK(A155),"",VLOOKUP(A155,DOI_URL!$B$1:$C$74,2,FALSE()))</f>
        <v>https://drive.google.com/file/d/1zYAcrwzS3KL_ErwBKdhjPSm1fm4sPcP9/view?usp=sharing</v>
      </c>
      <c r="C155" s="1" t="s">
        <v>3311</v>
      </c>
      <c r="D155" s="1" t="s">
        <v>3311</v>
      </c>
      <c r="E155" s="1" t="s">
        <v>3483</v>
      </c>
      <c r="G155" s="1" t="s">
        <v>1220</v>
      </c>
      <c r="H155" s="1" t="s">
        <v>1581</v>
      </c>
      <c r="I155" s="1" t="s">
        <v>54</v>
      </c>
      <c r="J155" s="1" t="s">
        <v>1560</v>
      </c>
    </row>
    <row r="156">
      <c r="A156" s="1" t="s">
        <v>1557</v>
      </c>
      <c r="B156" s="170" t="str">
        <f>IF(ISBLANK(A156),"",VLOOKUP(A156,DOI_URL!$B$1:$C$74,2,FALSE()))</f>
        <v>https://drive.google.com/file/d/1zYAcrwzS3KL_ErwBKdhjPSm1fm4sPcP9/view?usp=sharing</v>
      </c>
      <c r="C156" s="1" t="s">
        <v>3311</v>
      </c>
      <c r="D156" s="1" t="s">
        <v>3311</v>
      </c>
      <c r="E156" s="1" t="s">
        <v>3484</v>
      </c>
      <c r="F156" s="1" t="s">
        <v>1205</v>
      </c>
      <c r="G156" s="1" t="s">
        <v>3019</v>
      </c>
      <c r="H156" s="1" t="s">
        <v>716</v>
      </c>
      <c r="I156" s="1" t="s">
        <v>39</v>
      </c>
      <c r="J156" s="1" t="s">
        <v>1560</v>
      </c>
    </row>
    <row r="157">
      <c r="A157" s="1" t="s">
        <v>1557</v>
      </c>
      <c r="B157" s="170" t="str">
        <f>IF(ISBLANK(A157),"",VLOOKUP(A157,DOI_URL!$B$1:$C$74,2,FALSE()))</f>
        <v>https://drive.google.com/file/d/1zYAcrwzS3KL_ErwBKdhjPSm1fm4sPcP9/view?usp=sharing</v>
      </c>
      <c r="C157" s="1" t="s">
        <v>3311</v>
      </c>
      <c r="D157" s="1" t="s">
        <v>3311</v>
      </c>
      <c r="E157" s="1" t="s">
        <v>3484</v>
      </c>
      <c r="F157" s="1" t="s">
        <v>1205</v>
      </c>
      <c r="G157" s="1" t="s">
        <v>2562</v>
      </c>
      <c r="H157" s="1" t="s">
        <v>716</v>
      </c>
      <c r="I157" s="1" t="s">
        <v>39</v>
      </c>
      <c r="J157" s="1" t="s">
        <v>1560</v>
      </c>
    </row>
    <row r="158">
      <c r="A158" s="1" t="s">
        <v>1557</v>
      </c>
      <c r="B158" s="170" t="str">
        <f>IF(ISBLANK(A158),"",VLOOKUP(A158,DOI_URL!$B$1:$C$74,2,FALSE()))</f>
        <v>https://drive.google.com/file/d/1zYAcrwzS3KL_ErwBKdhjPSm1fm4sPcP9/view?usp=sharing</v>
      </c>
      <c r="C158" s="1" t="s">
        <v>3311</v>
      </c>
      <c r="D158" s="1" t="s">
        <v>3311</v>
      </c>
      <c r="E158" s="1" t="s">
        <v>3484</v>
      </c>
      <c r="F158" s="1" t="s">
        <v>1205</v>
      </c>
      <c r="G158" s="1" t="s">
        <v>2561</v>
      </c>
      <c r="H158" s="1" t="s">
        <v>716</v>
      </c>
      <c r="I158" s="1" t="s">
        <v>39</v>
      </c>
      <c r="J158" s="1" t="s">
        <v>1560</v>
      </c>
    </row>
    <row r="159">
      <c r="A159" s="1" t="s">
        <v>1557</v>
      </c>
      <c r="B159" s="170" t="str">
        <f>IF(ISBLANK(A159),"",VLOOKUP(A159,DOI_URL!$B$1:$C$74,2,FALSE()))</f>
        <v>https://drive.google.com/file/d/1zYAcrwzS3KL_ErwBKdhjPSm1fm4sPcP9/view?usp=sharing</v>
      </c>
      <c r="C159" s="1" t="s">
        <v>3311</v>
      </c>
      <c r="D159" s="1" t="s">
        <v>3311</v>
      </c>
      <c r="E159" s="1" t="s">
        <v>3485</v>
      </c>
      <c r="F159" s="1" t="s">
        <v>910</v>
      </c>
      <c r="G159" s="1" t="s">
        <v>1583</v>
      </c>
      <c r="H159" s="1" t="s">
        <v>1584</v>
      </c>
      <c r="I159" s="1" t="s">
        <v>39</v>
      </c>
      <c r="J159" s="1" t="s">
        <v>1560</v>
      </c>
    </row>
    <row r="160">
      <c r="A160" s="1" t="s">
        <v>1557</v>
      </c>
      <c r="B160" s="170" t="str">
        <f>IF(ISBLANK(A160),"",VLOOKUP(A160,DOI_URL!$B$1:$C$74,2,FALSE()))</f>
        <v>https://drive.google.com/file/d/1zYAcrwzS3KL_ErwBKdhjPSm1fm4sPcP9/view?usp=sharing</v>
      </c>
      <c r="C160" s="1" t="s">
        <v>3311</v>
      </c>
      <c r="D160" s="1" t="s">
        <v>3311</v>
      </c>
      <c r="E160" s="1" t="s">
        <v>3486</v>
      </c>
      <c r="F160" s="1" t="s">
        <v>910</v>
      </c>
      <c r="G160" s="1" t="s">
        <v>1586</v>
      </c>
      <c r="H160" s="1" t="s">
        <v>1587</v>
      </c>
      <c r="I160" s="1" t="s">
        <v>506</v>
      </c>
      <c r="J160" s="1" t="s">
        <v>1560</v>
      </c>
    </row>
    <row r="161">
      <c r="A161" s="1" t="s">
        <v>1557</v>
      </c>
      <c r="B161" s="170" t="str">
        <f>IF(ISBLANK(A161),"",VLOOKUP(A161,DOI_URL!$B$1:$C$74,2,FALSE()))</f>
        <v>https://drive.google.com/file/d/1zYAcrwzS3KL_ErwBKdhjPSm1fm4sPcP9/view?usp=sharing</v>
      </c>
      <c r="C161" s="1" t="s">
        <v>3311</v>
      </c>
      <c r="D161" s="1" t="s">
        <v>3311</v>
      </c>
      <c r="E161" s="1" t="s">
        <v>3486</v>
      </c>
      <c r="F161" s="1" t="s">
        <v>910</v>
      </c>
      <c r="G161" s="1" t="s">
        <v>1588</v>
      </c>
      <c r="H161" s="1" t="s">
        <v>1589</v>
      </c>
      <c r="I161" s="1" t="s">
        <v>506</v>
      </c>
      <c r="J161" s="1" t="s">
        <v>1560</v>
      </c>
    </row>
    <row r="162">
      <c r="A162" s="1" t="s">
        <v>1557</v>
      </c>
      <c r="B162" s="170" t="str">
        <f>IF(ISBLANK(A162),"",VLOOKUP(A162,DOI_URL!$B$1:$C$74,2,FALSE()))</f>
        <v>https://drive.google.com/file/d/1zYAcrwzS3KL_ErwBKdhjPSm1fm4sPcP9/view?usp=sharing</v>
      </c>
      <c r="C162" s="1" t="s">
        <v>3311</v>
      </c>
      <c r="D162" s="1" t="s">
        <v>3311</v>
      </c>
      <c r="E162" s="1" t="s">
        <v>3486</v>
      </c>
      <c r="F162" s="1" t="s">
        <v>910</v>
      </c>
      <c r="G162" s="1" t="s">
        <v>1593</v>
      </c>
      <c r="H162" s="1" t="s">
        <v>1594</v>
      </c>
      <c r="I162" s="1" t="s">
        <v>39</v>
      </c>
      <c r="J162" s="1" t="s">
        <v>1560</v>
      </c>
    </row>
    <row r="163">
      <c r="A163" s="1" t="s">
        <v>1595</v>
      </c>
      <c r="B163" s="170" t="str">
        <f>IF(ISBLANK(A163),"",VLOOKUP(A163,DOI_URL!$B$1:$C$74,2,FALSE()))</f>
        <v>https://drive.google.com/file/d/16G21MBH6PmhnLyt7VoHrxb7gDCRjfIUI/view?usp=sharing</v>
      </c>
      <c r="C163" s="1" t="s">
        <v>3311</v>
      </c>
      <c r="D163" s="1" t="s">
        <v>3311</v>
      </c>
      <c r="E163" s="1" t="s">
        <v>3487</v>
      </c>
      <c r="F163" s="1" t="s">
        <v>1597</v>
      </c>
      <c r="G163" s="1" t="s">
        <v>1598</v>
      </c>
      <c r="H163" s="1" t="s">
        <v>1599</v>
      </c>
      <c r="I163" s="1" t="s">
        <v>54</v>
      </c>
      <c r="J163" s="1" t="s">
        <v>3026</v>
      </c>
    </row>
    <row r="164">
      <c r="A164" s="1" t="s">
        <v>1595</v>
      </c>
      <c r="B164" s="170" t="str">
        <f>IF(ISBLANK(A164),"",VLOOKUP(A164,DOI_URL!$B$1:$C$74,2,FALSE()))</f>
        <v>https://drive.google.com/file/d/16G21MBH6PmhnLyt7VoHrxb7gDCRjfIUI/view?usp=sharing</v>
      </c>
      <c r="C164" s="1" t="s">
        <v>3311</v>
      </c>
      <c r="D164" s="1" t="s">
        <v>3311</v>
      </c>
      <c r="E164" s="1" t="s">
        <v>3487</v>
      </c>
      <c r="F164" s="1" t="s">
        <v>1597</v>
      </c>
      <c r="G164" s="1" t="s">
        <v>1601</v>
      </c>
      <c r="H164" s="1" t="s">
        <v>1599</v>
      </c>
      <c r="I164" s="1" t="s">
        <v>54</v>
      </c>
      <c r="J164" s="1" t="s">
        <v>3026</v>
      </c>
    </row>
    <row r="165">
      <c r="A165" s="1" t="s">
        <v>1595</v>
      </c>
      <c r="B165" s="170" t="str">
        <f>IF(ISBLANK(A165),"",VLOOKUP(A165,DOI_URL!$B$1:$C$74,2,FALSE()))</f>
        <v>https://drive.google.com/file/d/16G21MBH6PmhnLyt7VoHrxb7gDCRjfIUI/view?usp=sharing</v>
      </c>
      <c r="C165" s="1" t="s">
        <v>3311</v>
      </c>
      <c r="D165" s="1" t="s">
        <v>3311</v>
      </c>
      <c r="E165" s="1" t="s">
        <v>3445</v>
      </c>
      <c r="F165" s="1" t="s">
        <v>1205</v>
      </c>
      <c r="G165" s="1" t="s">
        <v>2817</v>
      </c>
      <c r="H165" s="1" t="s">
        <v>716</v>
      </c>
      <c r="I165" s="1" t="s">
        <v>39</v>
      </c>
      <c r="J165" s="1" t="s">
        <v>3026</v>
      </c>
    </row>
    <row r="166">
      <c r="A166" s="1" t="s">
        <v>1595</v>
      </c>
      <c r="B166" s="170" t="str">
        <f>IF(ISBLANK(A166),"",VLOOKUP(A166,DOI_URL!$B$1:$C$74,2,FALSE()))</f>
        <v>https://drive.google.com/file/d/16G21MBH6PmhnLyt7VoHrxb7gDCRjfIUI/view?usp=sharing</v>
      </c>
      <c r="C166" s="1" t="s">
        <v>3311</v>
      </c>
      <c r="D166" s="1" t="s">
        <v>3311</v>
      </c>
      <c r="E166" s="1" t="s">
        <v>3445</v>
      </c>
      <c r="F166" s="1" t="s">
        <v>1205</v>
      </c>
      <c r="G166" s="1" t="s">
        <v>3027</v>
      </c>
      <c r="H166" s="1" t="s">
        <v>716</v>
      </c>
      <c r="I166" s="1" t="s">
        <v>39</v>
      </c>
      <c r="J166" s="1" t="s">
        <v>3026</v>
      </c>
    </row>
    <row r="167">
      <c r="A167" s="1" t="s">
        <v>1595</v>
      </c>
      <c r="B167" s="170" t="str">
        <f>IF(ISBLANK(A167),"",VLOOKUP(A167,DOI_URL!$B$1:$C$74,2,FALSE()))</f>
        <v>https://drive.google.com/file/d/16G21MBH6PmhnLyt7VoHrxb7gDCRjfIUI/view?usp=sharing</v>
      </c>
      <c r="C167" s="1" t="s">
        <v>3311</v>
      </c>
      <c r="D167" s="1" t="s">
        <v>3311</v>
      </c>
      <c r="E167" s="1" t="s">
        <v>3461</v>
      </c>
      <c r="F167" s="1" t="s">
        <v>1551</v>
      </c>
      <c r="G167" s="1" t="s">
        <v>1607</v>
      </c>
      <c r="H167" s="1" t="s">
        <v>3028</v>
      </c>
      <c r="I167" s="1" t="s">
        <v>39</v>
      </c>
      <c r="J167" s="1" t="s">
        <v>3026</v>
      </c>
    </row>
    <row r="168">
      <c r="A168" s="1" t="s">
        <v>1595</v>
      </c>
      <c r="B168" s="170" t="str">
        <f>IF(ISBLANK(A168),"",VLOOKUP(A168,DOI_URL!$B$1:$C$74,2,FALSE()))</f>
        <v>https://drive.google.com/file/d/16G21MBH6PmhnLyt7VoHrxb7gDCRjfIUI/view?usp=sharing</v>
      </c>
      <c r="C168" s="1" t="s">
        <v>3311</v>
      </c>
      <c r="D168" s="1" t="s">
        <v>3311</v>
      </c>
      <c r="E168" s="1" t="s">
        <v>3461</v>
      </c>
      <c r="F168" s="1" t="s">
        <v>1551</v>
      </c>
      <c r="G168" s="1" t="s">
        <v>1610</v>
      </c>
      <c r="H168" s="1" t="s">
        <v>1647</v>
      </c>
      <c r="I168" s="1" t="s">
        <v>39</v>
      </c>
      <c r="J168" s="1" t="s">
        <v>3026</v>
      </c>
    </row>
    <row r="169">
      <c r="A169" s="1" t="s">
        <v>1595</v>
      </c>
      <c r="B169" s="170" t="str">
        <f>IF(ISBLANK(A169),"",VLOOKUP(A169,DOI_URL!$B$1:$C$74,2,FALSE()))</f>
        <v>https://drive.google.com/file/d/16G21MBH6PmhnLyt7VoHrxb7gDCRjfIUI/view?usp=sharing</v>
      </c>
      <c r="C169" s="1" t="s">
        <v>3311</v>
      </c>
      <c r="D169" s="1" t="s">
        <v>3311</v>
      </c>
      <c r="E169" s="1" t="s">
        <v>3461</v>
      </c>
      <c r="F169" s="1" t="s">
        <v>1551</v>
      </c>
      <c r="G169" s="1" t="s">
        <v>1613</v>
      </c>
      <c r="H169" s="1" t="s">
        <v>3029</v>
      </c>
      <c r="I169" s="1" t="s">
        <v>39</v>
      </c>
      <c r="J169" s="1" t="s">
        <v>3026</v>
      </c>
    </row>
    <row r="170">
      <c r="A170" s="1" t="s">
        <v>1618</v>
      </c>
      <c r="B170" s="170" t="str">
        <f>IF(ISBLANK(A170),"",VLOOKUP(A170,DOI_URL!$B$1:$C$74,2,FALSE()))</f>
        <v>https://drive.google.com/file/d/1XmPK7ct4E8dIqUnV93yb1YVmoRFCLUp6/view?usp=sharing</v>
      </c>
      <c r="C170" s="1" t="s">
        <v>3311</v>
      </c>
      <c r="D170" s="1" t="s">
        <v>3311</v>
      </c>
      <c r="E170" s="1" t="s">
        <v>2479</v>
      </c>
      <c r="F170" s="1" t="s">
        <v>1205</v>
      </c>
      <c r="G170" s="1" t="s">
        <v>3488</v>
      </c>
      <c r="I170" s="1" t="s">
        <v>39</v>
      </c>
      <c r="J170" s="1" t="s">
        <v>289</v>
      </c>
    </row>
    <row r="171">
      <c r="A171" s="1" t="s">
        <v>1618</v>
      </c>
      <c r="B171" s="170" t="str">
        <f>IF(ISBLANK(A171),"",VLOOKUP(A171,DOI_URL!$B$1:$C$74,2,FALSE()))</f>
        <v>https://drive.google.com/file/d/1XmPK7ct4E8dIqUnV93yb1YVmoRFCLUp6/view?usp=sharing</v>
      </c>
      <c r="C171" s="1" t="s">
        <v>3311</v>
      </c>
      <c r="D171" s="1" t="s">
        <v>3311</v>
      </c>
      <c r="E171" s="1" t="s">
        <v>1998</v>
      </c>
      <c r="F171" s="1" t="s">
        <v>698</v>
      </c>
      <c r="G171" s="1" t="s">
        <v>1623</v>
      </c>
      <c r="H171" s="1" t="s">
        <v>1624</v>
      </c>
      <c r="I171" s="1" t="s">
        <v>54</v>
      </c>
      <c r="J171" s="1" t="s">
        <v>289</v>
      </c>
    </row>
    <row r="172">
      <c r="A172" s="1" t="s">
        <v>1618</v>
      </c>
      <c r="B172" s="170" t="str">
        <f>IF(ISBLANK(A172),"",VLOOKUP(A172,DOI_URL!$B$1:$C$74,2,FALSE()))</f>
        <v>https://drive.google.com/file/d/1XmPK7ct4E8dIqUnV93yb1YVmoRFCLUp6/view?usp=sharing</v>
      </c>
      <c r="C172" s="1" t="s">
        <v>3311</v>
      </c>
      <c r="D172" s="1" t="s">
        <v>3311</v>
      </c>
      <c r="E172" s="1" t="s">
        <v>1998</v>
      </c>
      <c r="F172" s="1" t="s">
        <v>698</v>
      </c>
      <c r="G172" s="1" t="s">
        <v>1625</v>
      </c>
      <c r="H172" s="1" t="s">
        <v>1624</v>
      </c>
      <c r="I172" s="1" t="s">
        <v>54</v>
      </c>
      <c r="J172" s="1" t="s">
        <v>289</v>
      </c>
    </row>
    <row r="173">
      <c r="A173" s="1" t="s">
        <v>1618</v>
      </c>
      <c r="B173" s="170" t="str">
        <f>IF(ISBLANK(A173),"",VLOOKUP(A173,DOI_URL!$B$1:$C$74,2,FALSE()))</f>
        <v>https://drive.google.com/file/d/1XmPK7ct4E8dIqUnV93yb1YVmoRFCLUp6/view?usp=sharing</v>
      </c>
      <c r="C173" s="1" t="s">
        <v>3311</v>
      </c>
      <c r="D173" s="1" t="s">
        <v>3311</v>
      </c>
      <c r="E173" s="1" t="s">
        <v>1998</v>
      </c>
      <c r="F173" s="1" t="s">
        <v>698</v>
      </c>
      <c r="G173" s="1" t="s">
        <v>1626</v>
      </c>
      <c r="H173" s="1" t="s">
        <v>1624</v>
      </c>
      <c r="I173" s="1" t="s">
        <v>54</v>
      </c>
      <c r="J173" s="1" t="s">
        <v>289</v>
      </c>
    </row>
    <row r="174">
      <c r="A174" s="1" t="s">
        <v>1618</v>
      </c>
      <c r="B174" s="170" t="str">
        <f>IF(ISBLANK(A174),"",VLOOKUP(A174,DOI_URL!$B$1:$C$74,2,FALSE()))</f>
        <v>https://drive.google.com/file/d/1XmPK7ct4E8dIqUnV93yb1YVmoRFCLUp6/view?usp=sharing</v>
      </c>
      <c r="C174" s="1" t="s">
        <v>3311</v>
      </c>
      <c r="D174" s="1" t="s">
        <v>3311</v>
      </c>
      <c r="E174" s="1" t="s">
        <v>1998</v>
      </c>
      <c r="F174" s="1" t="s">
        <v>698</v>
      </c>
      <c r="G174" s="1" t="s">
        <v>1627</v>
      </c>
      <c r="H174" s="1" t="s">
        <v>1624</v>
      </c>
      <c r="I174" s="1" t="s">
        <v>54</v>
      </c>
      <c r="J174" s="1" t="s">
        <v>289</v>
      </c>
    </row>
    <row r="175">
      <c r="A175" s="1" t="s">
        <v>1618</v>
      </c>
      <c r="B175" s="170" t="str">
        <f>IF(ISBLANK(A175),"",VLOOKUP(A175,DOI_URL!$B$1:$C$74,2,FALSE()))</f>
        <v>https://drive.google.com/file/d/1XmPK7ct4E8dIqUnV93yb1YVmoRFCLUp6/view?usp=sharing</v>
      </c>
      <c r="C175" s="1" t="s">
        <v>3311</v>
      </c>
      <c r="D175" s="1" t="s">
        <v>3311</v>
      </c>
      <c r="E175" s="1" t="s">
        <v>1998</v>
      </c>
      <c r="F175" s="1" t="s">
        <v>698</v>
      </c>
      <c r="G175" s="1" t="s">
        <v>1628</v>
      </c>
      <c r="H175" s="1" t="s">
        <v>1624</v>
      </c>
      <c r="I175" s="1" t="s">
        <v>54</v>
      </c>
      <c r="J175" s="1" t="s">
        <v>289</v>
      </c>
    </row>
    <row r="176">
      <c r="A176" s="1" t="s">
        <v>1618</v>
      </c>
      <c r="B176" s="170" t="str">
        <f>IF(ISBLANK(A176),"",VLOOKUP(A176,DOI_URL!$B$1:$C$74,2,FALSE()))</f>
        <v>https://drive.google.com/file/d/1XmPK7ct4E8dIqUnV93yb1YVmoRFCLUp6/view?usp=sharing</v>
      </c>
      <c r="C176" s="1" t="s">
        <v>3311</v>
      </c>
      <c r="D176" s="1" t="s">
        <v>3311</v>
      </c>
      <c r="E176" s="1" t="s">
        <v>1998</v>
      </c>
      <c r="F176" s="1" t="s">
        <v>698</v>
      </c>
      <c r="G176" s="1" t="s">
        <v>1629</v>
      </c>
      <c r="H176" s="1" t="s">
        <v>1624</v>
      </c>
      <c r="I176" s="1" t="s">
        <v>54</v>
      </c>
      <c r="J176" s="1" t="s">
        <v>289</v>
      </c>
    </row>
    <row r="177">
      <c r="A177" s="1" t="s">
        <v>1618</v>
      </c>
      <c r="B177" s="170" t="str">
        <f>IF(ISBLANK(A177),"",VLOOKUP(A177,DOI_URL!$B$1:$C$74,2,FALSE()))</f>
        <v>https://drive.google.com/file/d/1XmPK7ct4E8dIqUnV93yb1YVmoRFCLUp6/view?usp=sharing</v>
      </c>
      <c r="C177" s="1" t="s">
        <v>3311</v>
      </c>
      <c r="D177" s="1" t="s">
        <v>3311</v>
      </c>
      <c r="E177" s="1" t="s">
        <v>1998</v>
      </c>
      <c r="F177" s="1" t="s">
        <v>698</v>
      </c>
      <c r="G177" s="1" t="s">
        <v>1630</v>
      </c>
      <c r="H177" s="1" t="s">
        <v>1624</v>
      </c>
      <c r="I177" s="1" t="s">
        <v>54</v>
      </c>
      <c r="J177" s="1" t="s">
        <v>289</v>
      </c>
    </row>
    <row r="178">
      <c r="A178" s="1" t="s">
        <v>1618</v>
      </c>
      <c r="B178" s="170" t="str">
        <f>IF(ISBLANK(A178),"",VLOOKUP(A178,DOI_URL!$B$1:$C$74,2,FALSE()))</f>
        <v>https://drive.google.com/file/d/1XmPK7ct4E8dIqUnV93yb1YVmoRFCLUp6/view?usp=sharing</v>
      </c>
      <c r="C178" s="1" t="s">
        <v>3311</v>
      </c>
      <c r="D178" s="1" t="s">
        <v>3311</v>
      </c>
      <c r="E178" s="1" t="s">
        <v>1998</v>
      </c>
      <c r="F178" s="1" t="s">
        <v>698</v>
      </c>
      <c r="G178" s="1" t="s">
        <v>1631</v>
      </c>
      <c r="H178" s="1" t="s">
        <v>1624</v>
      </c>
      <c r="I178" s="1" t="s">
        <v>54</v>
      </c>
      <c r="J178" s="1" t="s">
        <v>289</v>
      </c>
    </row>
    <row r="179">
      <c r="A179" s="1" t="s">
        <v>1618</v>
      </c>
      <c r="B179" s="170" t="str">
        <f>IF(ISBLANK(A179),"",VLOOKUP(A179,DOI_URL!$B$1:$C$74,2,FALSE()))</f>
        <v>https://drive.google.com/file/d/1XmPK7ct4E8dIqUnV93yb1YVmoRFCLUp6/view?usp=sharing</v>
      </c>
      <c r="C179" s="1" t="s">
        <v>3311</v>
      </c>
      <c r="D179" s="1" t="s">
        <v>3311</v>
      </c>
      <c r="E179" s="1" t="s">
        <v>1998</v>
      </c>
      <c r="F179" s="1" t="s">
        <v>698</v>
      </c>
      <c r="G179" s="1" t="s">
        <v>1632</v>
      </c>
      <c r="H179" s="1" t="s">
        <v>1624</v>
      </c>
      <c r="I179" s="1" t="s">
        <v>54</v>
      </c>
      <c r="J179" s="1" t="s">
        <v>289</v>
      </c>
    </row>
    <row r="180">
      <c r="A180" s="1" t="s">
        <v>1618</v>
      </c>
      <c r="B180" s="170" t="str">
        <f>IF(ISBLANK(A180),"",VLOOKUP(A180,DOI_URL!$B$1:$C$74,2,FALSE()))</f>
        <v>https://drive.google.com/file/d/1XmPK7ct4E8dIqUnV93yb1YVmoRFCLUp6/view?usp=sharing</v>
      </c>
      <c r="C180" s="1" t="s">
        <v>3311</v>
      </c>
      <c r="D180" s="1" t="s">
        <v>3311</v>
      </c>
      <c r="E180" s="1" t="s">
        <v>3489</v>
      </c>
      <c r="F180" s="1" t="s">
        <v>1551</v>
      </c>
      <c r="G180" s="1" t="s">
        <v>3039</v>
      </c>
      <c r="H180" s="1" t="s">
        <v>1647</v>
      </c>
      <c r="I180" s="1" t="s">
        <v>39</v>
      </c>
      <c r="J180" s="1" t="s">
        <v>289</v>
      </c>
    </row>
    <row r="181">
      <c r="A181" s="1" t="s">
        <v>1618</v>
      </c>
      <c r="B181" s="170" t="str">
        <f>IF(ISBLANK(A181),"",VLOOKUP(A181,DOI_URL!$B$1:$C$74,2,FALSE()))</f>
        <v>https://drive.google.com/file/d/1XmPK7ct4E8dIqUnV93yb1YVmoRFCLUp6/view?usp=sharing</v>
      </c>
      <c r="C181" s="1" t="s">
        <v>3311</v>
      </c>
      <c r="D181" s="1" t="s">
        <v>3311</v>
      </c>
      <c r="E181" s="1" t="s">
        <v>3490</v>
      </c>
      <c r="F181" s="1" t="s">
        <v>1551</v>
      </c>
      <c r="G181" s="1" t="s">
        <v>1646</v>
      </c>
      <c r="H181" s="1" t="s">
        <v>1647</v>
      </c>
      <c r="I181" s="1" t="s">
        <v>39</v>
      </c>
      <c r="J181" s="1" t="s">
        <v>289</v>
      </c>
    </row>
    <row r="182">
      <c r="A182" s="1" t="s">
        <v>1618</v>
      </c>
      <c r="B182" s="170" t="str">
        <f>IF(ISBLANK(A182),"",VLOOKUP(A182,DOI_URL!$B$1:$C$74,2,FALSE()))</f>
        <v>https://drive.google.com/file/d/1XmPK7ct4E8dIqUnV93yb1YVmoRFCLUp6/view?usp=sharing</v>
      </c>
      <c r="C182" s="1" t="s">
        <v>3311</v>
      </c>
      <c r="D182" s="1" t="s">
        <v>3311</v>
      </c>
      <c r="E182" s="1" t="s">
        <v>3491</v>
      </c>
      <c r="F182" s="1" t="s">
        <v>1551</v>
      </c>
      <c r="G182" s="1" t="s">
        <v>3040</v>
      </c>
      <c r="H182" s="1" t="s">
        <v>1647</v>
      </c>
      <c r="I182" s="1" t="s">
        <v>39</v>
      </c>
      <c r="J182" s="1" t="s">
        <v>289</v>
      </c>
    </row>
    <row r="183">
      <c r="A183" s="1" t="s">
        <v>1618</v>
      </c>
      <c r="B183" s="170" t="str">
        <f>IF(ISBLANK(A183),"",VLOOKUP(A183,DOI_URL!$B$1:$C$74,2,FALSE()))</f>
        <v>https://drive.google.com/file/d/1XmPK7ct4E8dIqUnV93yb1YVmoRFCLUp6/view?usp=sharing</v>
      </c>
      <c r="C183" s="1" t="s">
        <v>3311</v>
      </c>
      <c r="D183" s="1" t="s">
        <v>3311</v>
      </c>
      <c r="E183" s="1" t="s">
        <v>3492</v>
      </c>
      <c r="F183" s="1" t="s">
        <v>698</v>
      </c>
      <c r="G183" s="1" t="s">
        <v>1660</v>
      </c>
      <c r="H183" s="1" t="s">
        <v>1661</v>
      </c>
      <c r="I183" s="1" t="s">
        <v>14</v>
      </c>
      <c r="J183" s="1" t="s">
        <v>289</v>
      </c>
    </row>
    <row r="184">
      <c r="A184" s="1" t="s">
        <v>1618</v>
      </c>
      <c r="B184" s="170" t="str">
        <f>IF(ISBLANK(A184),"",VLOOKUP(A184,DOI_URL!$B$1:$C$74,2,FALSE()))</f>
        <v>https://drive.google.com/file/d/1XmPK7ct4E8dIqUnV93yb1YVmoRFCLUp6/view?usp=sharing</v>
      </c>
      <c r="C184" s="1" t="s">
        <v>3311</v>
      </c>
      <c r="D184" s="1" t="s">
        <v>3311</v>
      </c>
      <c r="E184" s="1" t="s">
        <v>3493</v>
      </c>
      <c r="F184" s="1" t="s">
        <v>1205</v>
      </c>
      <c r="G184" s="1" t="s">
        <v>1663</v>
      </c>
      <c r="H184" s="1" t="s">
        <v>3041</v>
      </c>
      <c r="I184" s="1" t="s">
        <v>39</v>
      </c>
      <c r="J184" s="1" t="s">
        <v>289</v>
      </c>
    </row>
    <row r="185">
      <c r="A185" s="1" t="s">
        <v>1618</v>
      </c>
      <c r="B185" s="170" t="str">
        <f>IF(ISBLANK(A185),"",VLOOKUP(A185,DOI_URL!$B$1:$C$74,2,FALSE()))</f>
        <v>https://drive.google.com/file/d/1XmPK7ct4E8dIqUnV93yb1YVmoRFCLUp6/view?usp=sharing</v>
      </c>
      <c r="C185" s="1" t="s">
        <v>3311</v>
      </c>
      <c r="D185" s="1" t="s">
        <v>3311</v>
      </c>
      <c r="E185" s="1" t="s">
        <v>3494</v>
      </c>
      <c r="F185" s="1" t="s">
        <v>698</v>
      </c>
      <c r="G185" s="1" t="s">
        <v>1666</v>
      </c>
      <c r="H185" s="1" t="s">
        <v>1667</v>
      </c>
      <c r="I185" s="1" t="s">
        <v>14</v>
      </c>
      <c r="J185" s="1" t="s">
        <v>289</v>
      </c>
    </row>
    <row r="186">
      <c r="A186" s="1" t="s">
        <v>1671</v>
      </c>
      <c r="B186" s="170" t="str">
        <f>IF(ISBLANK(A186),"",VLOOKUP(A186,DOI_URL!$B$1:$C$74,2,FALSE()))</f>
        <v>https://drive.google.com/file/d/1AQi36SYW6AxZOJz3gtz73aEi1-EubdJM/view?usp=sharing</v>
      </c>
      <c r="C186" s="1" t="s">
        <v>3311</v>
      </c>
      <c r="D186" s="1" t="s">
        <v>3311</v>
      </c>
      <c r="E186" s="1" t="s">
        <v>3495</v>
      </c>
      <c r="F186" s="1" t="s">
        <v>1086</v>
      </c>
      <c r="G186" s="1" t="s">
        <v>3496</v>
      </c>
      <c r="H186" s="1" t="s">
        <v>1674</v>
      </c>
      <c r="I186" s="1" t="s">
        <v>20</v>
      </c>
      <c r="J186" s="1" t="s">
        <v>806</v>
      </c>
    </row>
    <row r="187">
      <c r="A187" s="1" t="s">
        <v>1671</v>
      </c>
      <c r="B187" s="170" t="str">
        <f>IF(ISBLANK(A187),"",VLOOKUP(A187,DOI_URL!$B$1:$C$74,2,FALSE()))</f>
        <v>https://drive.google.com/file/d/1AQi36SYW6AxZOJz3gtz73aEi1-EubdJM/view?usp=sharing</v>
      </c>
      <c r="C187" s="1" t="s">
        <v>3311</v>
      </c>
      <c r="D187" s="1" t="s">
        <v>3311</v>
      </c>
      <c r="E187" s="1" t="s">
        <v>3497</v>
      </c>
      <c r="F187" s="1" t="s">
        <v>1677</v>
      </c>
      <c r="G187" s="1" t="s">
        <v>3048</v>
      </c>
      <c r="H187" s="1" t="s">
        <v>3049</v>
      </c>
      <c r="I187" s="1" t="s">
        <v>54</v>
      </c>
      <c r="J187" s="1" t="s">
        <v>806</v>
      </c>
    </row>
    <row r="188">
      <c r="A188" s="1" t="s">
        <v>1671</v>
      </c>
      <c r="B188" s="170" t="str">
        <f>IF(ISBLANK(A188),"",VLOOKUP(A188,DOI_URL!$B$1:$C$74,2,FALSE()))</f>
        <v>https://drive.google.com/file/d/1AQi36SYW6AxZOJz3gtz73aEi1-EubdJM/view?usp=sharing</v>
      </c>
      <c r="C188" s="1" t="s">
        <v>3311</v>
      </c>
      <c r="D188" s="1" t="s">
        <v>3311</v>
      </c>
      <c r="E188" s="1" t="s">
        <v>3498</v>
      </c>
      <c r="F188" s="1" t="s">
        <v>3499</v>
      </c>
      <c r="G188" s="1" t="s">
        <v>3050</v>
      </c>
      <c r="H188" s="1" t="s">
        <v>1683</v>
      </c>
      <c r="I188" s="1" t="s">
        <v>54</v>
      </c>
      <c r="J188" s="1" t="s">
        <v>806</v>
      </c>
    </row>
    <row r="189">
      <c r="A189" s="1" t="s">
        <v>1671</v>
      </c>
      <c r="B189" s="170" t="str">
        <f>IF(ISBLANK(A189),"",VLOOKUP(A189,DOI_URL!$B$1:$C$74,2,FALSE()))</f>
        <v>https://drive.google.com/file/d/1AQi36SYW6AxZOJz3gtz73aEi1-EubdJM/view?usp=sharing</v>
      </c>
      <c r="C189" s="1" t="s">
        <v>3311</v>
      </c>
      <c r="D189" s="1" t="s">
        <v>3311</v>
      </c>
      <c r="E189" s="1" t="s">
        <v>3498</v>
      </c>
      <c r="F189" s="1" t="s">
        <v>3499</v>
      </c>
      <c r="G189" s="1" t="s">
        <v>3052</v>
      </c>
      <c r="H189" s="1" t="s">
        <v>1683</v>
      </c>
      <c r="I189" s="1" t="s">
        <v>54</v>
      </c>
      <c r="J189" s="1" t="s">
        <v>806</v>
      </c>
    </row>
    <row r="190">
      <c r="A190" s="1" t="s">
        <v>1671</v>
      </c>
      <c r="B190" s="170" t="str">
        <f>IF(ISBLANK(A190),"",VLOOKUP(A190,DOI_URL!$B$1:$C$74,2,FALSE()))</f>
        <v>https://drive.google.com/file/d/1AQi36SYW6AxZOJz3gtz73aEi1-EubdJM/view?usp=sharing</v>
      </c>
      <c r="C190" s="1" t="s">
        <v>3311</v>
      </c>
      <c r="D190" s="1" t="s">
        <v>3311</v>
      </c>
      <c r="E190" s="1" t="s">
        <v>3498</v>
      </c>
      <c r="F190" s="1" t="s">
        <v>1205</v>
      </c>
      <c r="G190" s="1" t="s">
        <v>3055</v>
      </c>
      <c r="H190" s="1" t="s">
        <v>716</v>
      </c>
      <c r="I190" s="1" t="s">
        <v>39</v>
      </c>
      <c r="J190" s="1" t="s">
        <v>806</v>
      </c>
    </row>
    <row r="191">
      <c r="A191" s="1" t="s">
        <v>1671</v>
      </c>
      <c r="B191" s="170" t="str">
        <f>IF(ISBLANK(A191),"",VLOOKUP(A191,DOI_URL!$B$1:$C$74,2,FALSE()))</f>
        <v>https://drive.google.com/file/d/1AQi36SYW6AxZOJz3gtz73aEi1-EubdJM/view?usp=sharing</v>
      </c>
      <c r="C191" s="1" t="s">
        <v>3311</v>
      </c>
      <c r="D191" s="1" t="s">
        <v>3311</v>
      </c>
      <c r="E191" s="1" t="s">
        <v>3500</v>
      </c>
      <c r="F191" s="1" t="s">
        <v>698</v>
      </c>
      <c r="G191" s="1" t="s">
        <v>1222</v>
      </c>
      <c r="H191" s="1" t="s">
        <v>1686</v>
      </c>
      <c r="I191" s="1" t="s">
        <v>54</v>
      </c>
      <c r="J191" s="1" t="s">
        <v>806</v>
      </c>
    </row>
    <row r="192">
      <c r="A192" s="1" t="s">
        <v>1671</v>
      </c>
      <c r="B192" s="170" t="str">
        <f>IF(ISBLANK(A192),"",VLOOKUP(A192,DOI_URL!$B$1:$C$74,2,FALSE()))</f>
        <v>https://drive.google.com/file/d/1AQi36SYW6AxZOJz3gtz73aEi1-EubdJM/view?usp=sharing</v>
      </c>
      <c r="C192" s="1" t="s">
        <v>3311</v>
      </c>
      <c r="D192" s="1" t="s">
        <v>3311</v>
      </c>
      <c r="E192" s="1" t="s">
        <v>3500</v>
      </c>
      <c r="F192" s="1" t="s">
        <v>1551</v>
      </c>
      <c r="G192" s="1" t="s">
        <v>1688</v>
      </c>
      <c r="H192" s="1" t="s">
        <v>1647</v>
      </c>
      <c r="I192" s="1" t="s">
        <v>39</v>
      </c>
      <c r="J192" s="1" t="s">
        <v>806</v>
      </c>
    </row>
    <row r="193">
      <c r="A193" s="1" t="s">
        <v>1671</v>
      </c>
      <c r="B193" s="170" t="str">
        <f>IF(ISBLANK(A193),"",VLOOKUP(A193,DOI_URL!$B$1:$C$74,2,FALSE()))</f>
        <v>https://drive.google.com/file/d/1AQi36SYW6AxZOJz3gtz73aEi1-EubdJM/view?usp=sharing</v>
      </c>
      <c r="C193" s="1" t="s">
        <v>3311</v>
      </c>
      <c r="D193" s="1" t="s">
        <v>3311</v>
      </c>
      <c r="E193" s="1" t="s">
        <v>3500</v>
      </c>
      <c r="F193" s="1" t="s">
        <v>698</v>
      </c>
      <c r="G193" s="1" t="s">
        <v>1690</v>
      </c>
      <c r="H193" s="1" t="s">
        <v>1691</v>
      </c>
      <c r="I193" s="1" t="s">
        <v>54</v>
      </c>
      <c r="J193" s="1" t="s">
        <v>806</v>
      </c>
    </row>
    <row r="194">
      <c r="A194" s="1" t="s">
        <v>1671</v>
      </c>
      <c r="B194" s="170" t="str">
        <f>IF(ISBLANK(A194),"",VLOOKUP(A194,DOI_URL!$B$1:$C$74,2,FALSE()))</f>
        <v>https://drive.google.com/file/d/1AQi36SYW6AxZOJz3gtz73aEi1-EubdJM/view?usp=sharing</v>
      </c>
      <c r="C194" s="1" t="s">
        <v>3311</v>
      </c>
      <c r="D194" s="1" t="s">
        <v>3311</v>
      </c>
      <c r="E194" s="1" t="s">
        <v>3500</v>
      </c>
      <c r="G194" s="1" t="s">
        <v>3501</v>
      </c>
      <c r="H194" s="1" t="s">
        <v>1693</v>
      </c>
      <c r="I194" s="1" t="s">
        <v>39</v>
      </c>
      <c r="J194" s="1" t="s">
        <v>806</v>
      </c>
    </row>
    <row r="195">
      <c r="A195" s="1" t="s">
        <v>1712</v>
      </c>
      <c r="B195" s="170" t="str">
        <f>IF(ISBLANK(A195),"",VLOOKUP(A195,DOI_URL!$B$1:$C$74,2,FALSE()))</f>
        <v>https://drive.google.com/file/d/1GXdwug7yiEjLsmI1ZWJNBFjltE8WftUv/view?usp=sharing</v>
      </c>
      <c r="C195" s="1" t="s">
        <v>3311</v>
      </c>
      <c r="D195" s="1" t="s">
        <v>3311</v>
      </c>
      <c r="E195" s="1" t="s">
        <v>3454</v>
      </c>
      <c r="F195" s="1" t="s">
        <v>910</v>
      </c>
      <c r="G195" s="1" t="s">
        <v>1714</v>
      </c>
      <c r="H195" s="1" t="s">
        <v>1715</v>
      </c>
      <c r="I195" s="1" t="s">
        <v>14</v>
      </c>
      <c r="J195" s="1" t="s">
        <v>1716</v>
      </c>
      <c r="K195" s="1" t="s">
        <v>3502</v>
      </c>
    </row>
    <row r="196">
      <c r="A196" s="1" t="s">
        <v>1712</v>
      </c>
      <c r="B196" s="170" t="str">
        <f>IF(ISBLANK(A196),"",VLOOKUP(A196,DOI_URL!$B$1:$C$74,2,FALSE()))</f>
        <v>https://drive.google.com/file/d/1GXdwug7yiEjLsmI1ZWJNBFjltE8WftUv/view?usp=sharing</v>
      </c>
      <c r="C196" s="1" t="s">
        <v>3311</v>
      </c>
      <c r="D196" s="1" t="s">
        <v>3311</v>
      </c>
      <c r="E196" s="1" t="s">
        <v>2350</v>
      </c>
      <c r="F196" s="1" t="s">
        <v>1718</v>
      </c>
      <c r="G196" s="1" t="s">
        <v>1719</v>
      </c>
      <c r="H196" s="1" t="s">
        <v>1720</v>
      </c>
      <c r="I196" s="1" t="s">
        <v>54</v>
      </c>
      <c r="J196" s="1" t="s">
        <v>1716</v>
      </c>
    </row>
    <row r="197">
      <c r="A197" s="1" t="s">
        <v>1712</v>
      </c>
      <c r="B197" s="170" t="str">
        <f>IF(ISBLANK(A197),"",VLOOKUP(A197,DOI_URL!$B$1:$C$74,2,FALSE()))</f>
        <v>https://drive.google.com/file/d/1GXdwug7yiEjLsmI1ZWJNBFjltE8WftUv/view?usp=sharing</v>
      </c>
      <c r="C197" s="1" t="s">
        <v>3311</v>
      </c>
      <c r="D197" s="1" t="s">
        <v>3311</v>
      </c>
      <c r="E197" s="1" t="s">
        <v>2350</v>
      </c>
      <c r="F197" s="1" t="s">
        <v>1721</v>
      </c>
      <c r="G197" s="1" t="s">
        <v>1722</v>
      </c>
      <c r="H197" s="1" t="s">
        <v>1723</v>
      </c>
      <c r="I197" s="1" t="s">
        <v>54</v>
      </c>
      <c r="J197" s="1" t="s">
        <v>1716</v>
      </c>
    </row>
    <row r="198">
      <c r="A198" s="8"/>
      <c r="B198" s="8" t="str">
        <f>IF(ISBLANK(A198),"",VLOOKUP(A198,DOI_URL!$B$1:$C$74,2,FALSE()))</f>
        <v/>
      </c>
      <c r="C198" s="8"/>
      <c r="D198" s="8"/>
      <c r="I198" s="8"/>
      <c r="J198" s="8"/>
    </row>
    <row r="199">
      <c r="A199" s="8"/>
      <c r="B199" s="8" t="str">
        <f>IF(ISBLANK(A199),"",VLOOKUP(A199,DOI_URL!$B$1:$C$74,2,FALSE()))</f>
        <v/>
      </c>
      <c r="C199" s="8"/>
      <c r="D199" s="8"/>
      <c r="I199" s="8"/>
      <c r="J199" s="8"/>
    </row>
    <row r="200">
      <c r="A200" s="8"/>
      <c r="B200" s="8" t="str">
        <f>IF(ISBLANK(A200),"",VLOOKUP(A200,DOI_URL!$B$1:$C$74,2,FALSE()))</f>
        <v/>
      </c>
      <c r="C200" s="8"/>
      <c r="D200" s="8"/>
      <c r="I200" s="8"/>
      <c r="J200" s="8"/>
    </row>
    <row r="201">
      <c r="A201" s="8"/>
      <c r="B201" s="8" t="str">
        <f>IF(ISBLANK(A201),"",VLOOKUP(A201,DOI_URL!$B$1:$C$74,2,FALSE()))</f>
        <v/>
      </c>
      <c r="C201" s="8"/>
      <c r="D201" s="8"/>
      <c r="I201" s="8"/>
      <c r="J201" s="8"/>
    </row>
    <row r="202">
      <c r="A202" s="8"/>
      <c r="B202" s="8" t="str">
        <f>IF(ISBLANK(A202),"",VLOOKUP(A202,DOI_URL!$B$1:$C$74,2,FALSE()))</f>
        <v/>
      </c>
      <c r="C202" s="8"/>
      <c r="D202" s="8"/>
      <c r="I202" s="8"/>
      <c r="J202" s="8"/>
    </row>
    <row r="203">
      <c r="A203" s="8"/>
      <c r="B203" s="8" t="str">
        <f>IF(ISBLANK(A203),"",VLOOKUP(A203,DOI_URL!$B$1:$C$74,2,FALSE()))</f>
        <v/>
      </c>
      <c r="C203" s="8"/>
      <c r="D203" s="8"/>
      <c r="I203" s="8"/>
      <c r="J203" s="8"/>
    </row>
    <row r="204">
      <c r="A204" s="8"/>
      <c r="B204" s="8" t="str">
        <f>IF(ISBLANK(A204),"",VLOOKUP(A204,DOI_URL!$B$1:$C$74,2,FALSE()))</f>
        <v/>
      </c>
      <c r="C204" s="8"/>
      <c r="D204" s="8"/>
      <c r="I204" s="8"/>
      <c r="J204" s="8"/>
    </row>
    <row r="205">
      <c r="A205" s="8"/>
      <c r="B205" s="8" t="str">
        <f>IF(ISBLANK(A205),"",VLOOKUP(A205,DOI_URL!$B$1:$C$74,2,FALSE()))</f>
        <v/>
      </c>
      <c r="C205" s="8"/>
      <c r="D205" s="8"/>
      <c r="I205" s="8"/>
      <c r="J205" s="8"/>
    </row>
    <row r="206">
      <c r="A206" s="8"/>
      <c r="B206" s="8" t="str">
        <f>IF(ISBLANK(A206),"",VLOOKUP(A206,DOI_URL!$B$1:$C$74,2,FALSE()))</f>
        <v/>
      </c>
      <c r="C206" s="8"/>
      <c r="D206" s="8"/>
      <c r="I206" s="8"/>
      <c r="J206" s="8"/>
    </row>
    <row r="207">
      <c r="A207" s="8"/>
      <c r="B207" s="8" t="str">
        <f>IF(ISBLANK(A207),"",VLOOKUP(A207,DOI_URL!$B$1:$C$74,2,FALSE()))</f>
        <v/>
      </c>
      <c r="C207" s="8"/>
      <c r="D207" s="8"/>
      <c r="I207" s="8"/>
      <c r="J207" s="8"/>
    </row>
    <row r="208">
      <c r="A208" s="8"/>
      <c r="B208" s="8" t="str">
        <f>IF(ISBLANK(A208),"",VLOOKUP(A208,DOI_URL!$B$1:$C$74,2,FALSE()))</f>
        <v/>
      </c>
      <c r="C208" s="8"/>
      <c r="D208" s="8"/>
      <c r="I208" s="8"/>
      <c r="J208" s="8"/>
    </row>
    <row r="209">
      <c r="A209" s="8"/>
      <c r="B209" s="8" t="str">
        <f>IF(ISBLANK(A209),"",VLOOKUP(A209,DOI_URL!$B$1:$C$74,2,FALSE()))</f>
        <v/>
      </c>
      <c r="C209" s="8"/>
      <c r="D209" s="8"/>
      <c r="I209" s="8"/>
      <c r="J209" s="8"/>
    </row>
    <row r="210">
      <c r="A210" s="8"/>
      <c r="B210" s="8" t="str">
        <f>IF(ISBLANK(A210),"",VLOOKUP(A210,DOI_URL!$B$1:$C$74,2,FALSE()))</f>
        <v/>
      </c>
      <c r="C210" s="8"/>
      <c r="D210" s="8"/>
      <c r="I210" s="8"/>
      <c r="J210" s="8"/>
    </row>
    <row r="211">
      <c r="A211" s="8"/>
      <c r="B211" s="8" t="str">
        <f>IF(ISBLANK(A211),"",VLOOKUP(A211,DOI_URL!$B$1:$C$74,2,FALSE()))</f>
        <v/>
      </c>
      <c r="C211" s="8"/>
      <c r="D211" s="8"/>
      <c r="I211" s="8"/>
      <c r="J211" s="8"/>
    </row>
    <row r="212">
      <c r="A212" s="8"/>
      <c r="B212" s="8" t="str">
        <f>IF(ISBLANK(A212),"",VLOOKUP(A212,DOI_URL!$B$1:$C$74,2,FALSE()))</f>
        <v/>
      </c>
      <c r="C212" s="8"/>
      <c r="D212" s="8"/>
      <c r="I212" s="8"/>
      <c r="J212" s="8"/>
    </row>
    <row r="213">
      <c r="A213" s="8"/>
      <c r="B213" s="8" t="str">
        <f>IF(ISBLANK(A213),"",VLOOKUP(A213,DOI_URL!$B$1:$C$74,2,FALSE()))</f>
        <v/>
      </c>
      <c r="C213" s="8"/>
      <c r="D213" s="8"/>
      <c r="I213" s="8"/>
      <c r="J213" s="8"/>
    </row>
    <row r="214">
      <c r="A214" s="8"/>
      <c r="B214" s="8" t="str">
        <f>IF(ISBLANK(A214),"",VLOOKUP(A214,DOI_URL!$B$1:$C$74,2,FALSE()))</f>
        <v/>
      </c>
      <c r="C214" s="8"/>
      <c r="D214" s="8"/>
      <c r="I214" s="8"/>
      <c r="J214" s="8"/>
    </row>
    <row r="215">
      <c r="A215" s="8"/>
      <c r="B215" s="8" t="str">
        <f>IF(ISBLANK(A215),"",VLOOKUP(A215,DOI_URL!$B$1:$C$74,2,FALSE()))</f>
        <v/>
      </c>
      <c r="C215" s="8"/>
      <c r="D215" s="8"/>
      <c r="I215" s="8"/>
      <c r="J215" s="8"/>
    </row>
    <row r="216">
      <c r="A216" s="8"/>
      <c r="B216" s="8" t="str">
        <f>IF(ISBLANK(A216),"",VLOOKUP(A216,DOI_URL!$B$1:$C$74,2,FALSE()))</f>
        <v/>
      </c>
      <c r="C216" s="8"/>
      <c r="D216" s="8"/>
      <c r="I216" s="8"/>
      <c r="J216" s="8"/>
    </row>
    <row r="217">
      <c r="A217" s="8"/>
      <c r="B217" s="8" t="str">
        <f>IF(ISBLANK(A217),"",VLOOKUP(A217,DOI_URL!$B$1:$C$74,2,FALSE()))</f>
        <v/>
      </c>
      <c r="C217" s="8"/>
      <c r="D217" s="8"/>
      <c r="I217" s="8"/>
      <c r="J217" s="8"/>
    </row>
    <row r="218">
      <c r="A218" s="8"/>
      <c r="B218" s="8" t="str">
        <f>IF(ISBLANK(A218),"",VLOOKUP(A218,DOI_URL!$B$1:$C$74,2,FALSE()))</f>
        <v/>
      </c>
      <c r="C218" s="8"/>
      <c r="D218" s="8"/>
      <c r="I218" s="8"/>
      <c r="J218" s="8"/>
    </row>
    <row r="219">
      <c r="A219" s="8"/>
      <c r="B219" s="8" t="str">
        <f>IF(ISBLANK(A219),"",VLOOKUP(A219,DOI_URL!$B$1:$C$74,2,FALSE()))</f>
        <v/>
      </c>
      <c r="C219" s="8"/>
      <c r="D219" s="8"/>
      <c r="I219" s="8"/>
      <c r="J219" s="8"/>
    </row>
    <row r="220">
      <c r="A220" s="8"/>
      <c r="B220" s="8" t="str">
        <f>IF(ISBLANK(A220),"",VLOOKUP(A220,DOI_URL!$B$1:$C$74,2,FALSE()))</f>
        <v/>
      </c>
      <c r="C220" s="8"/>
      <c r="D220" s="8"/>
      <c r="I220" s="8"/>
      <c r="J220" s="8"/>
    </row>
    <row r="221">
      <c r="A221" s="8"/>
      <c r="B221" s="8" t="str">
        <f>IF(ISBLANK(A221),"",VLOOKUP(A221,DOI_URL!$B$1:$C$74,2,FALSE()))</f>
        <v/>
      </c>
      <c r="C221" s="8"/>
      <c r="D221" s="8"/>
      <c r="I221" s="8"/>
      <c r="J221" s="8"/>
    </row>
    <row r="222">
      <c r="A222" s="8"/>
      <c r="B222" s="8" t="str">
        <f>IF(ISBLANK(A222),"",VLOOKUP(A222,DOI_URL!$B$1:$C$74,2,FALSE()))</f>
        <v/>
      </c>
      <c r="C222" s="8"/>
      <c r="D222" s="8"/>
      <c r="I222" s="8"/>
      <c r="J222" s="8"/>
    </row>
    <row r="223">
      <c r="A223" s="8"/>
      <c r="B223" s="8" t="str">
        <f>IF(ISBLANK(A223),"",VLOOKUP(A223,DOI_URL!$B$1:$C$74,2,FALSE()))</f>
        <v/>
      </c>
      <c r="C223" s="8"/>
      <c r="D223" s="8"/>
      <c r="I223" s="8"/>
      <c r="J223" s="8"/>
    </row>
    <row r="224">
      <c r="A224" s="8"/>
      <c r="B224" s="8" t="str">
        <f>IF(ISBLANK(A224),"",VLOOKUP(A224,DOI_URL!$B$1:$C$74,2,FALSE()))</f>
        <v/>
      </c>
      <c r="C224" s="8"/>
      <c r="D224" s="8"/>
      <c r="I224" s="8"/>
      <c r="J224" s="8"/>
    </row>
    <row r="225">
      <c r="A225" s="8"/>
      <c r="B225" s="8" t="str">
        <f>IF(ISBLANK(A225),"",VLOOKUP(A225,DOI_URL!$B$1:$C$74,2,FALSE()))</f>
        <v/>
      </c>
      <c r="C225" s="8"/>
      <c r="D225" s="8"/>
      <c r="I225" s="8"/>
      <c r="J225" s="8"/>
    </row>
    <row r="226">
      <c r="A226" s="8"/>
      <c r="B226" s="8" t="str">
        <f>IF(ISBLANK(A226),"",VLOOKUP(A226,DOI_URL!$B$1:$C$74,2,FALSE()))</f>
        <v/>
      </c>
      <c r="C226" s="8"/>
      <c r="D226" s="8"/>
      <c r="I226" s="8"/>
      <c r="J226" s="8"/>
    </row>
    <row r="227">
      <c r="A227" s="8"/>
      <c r="B227" s="8" t="str">
        <f>IF(ISBLANK(A227),"",VLOOKUP(A227,DOI_URL!$B$1:$C$74,2,FALSE()))</f>
        <v/>
      </c>
      <c r="C227" s="8"/>
      <c r="D227" s="8"/>
      <c r="I227" s="8"/>
      <c r="J227" s="8"/>
    </row>
    <row r="228">
      <c r="A228" s="8"/>
      <c r="B228" s="8" t="str">
        <f>IF(ISBLANK(A228),"",VLOOKUP(A228,DOI_URL!$B$1:$C$74,2,FALSE()))</f>
        <v/>
      </c>
      <c r="C228" s="8"/>
      <c r="D228" s="8"/>
      <c r="I228" s="8"/>
      <c r="J228" s="8"/>
    </row>
    <row r="229">
      <c r="A229" s="8"/>
      <c r="B229" s="8" t="str">
        <f>IF(ISBLANK(A229),"",VLOOKUP(A229,DOI_URL!$B$1:$C$74,2,FALSE()))</f>
        <v/>
      </c>
      <c r="C229" s="8"/>
      <c r="D229" s="8"/>
      <c r="I229" s="8"/>
      <c r="J229" s="8"/>
    </row>
    <row r="230">
      <c r="A230" s="8"/>
      <c r="B230" s="8" t="str">
        <f>IF(ISBLANK(A230),"",VLOOKUP(A230,DOI_URL!$B$1:$C$74,2,FALSE()))</f>
        <v/>
      </c>
      <c r="C230" s="8"/>
      <c r="D230" s="8"/>
      <c r="I230" s="8"/>
      <c r="J230" s="8"/>
    </row>
    <row r="231">
      <c r="A231" s="8"/>
      <c r="B231" s="8" t="str">
        <f>IF(ISBLANK(A231),"",VLOOKUP(A231,DOI_URL!$B$1:$C$74,2,FALSE()))</f>
        <v/>
      </c>
      <c r="C231" s="8"/>
      <c r="D231" s="8"/>
      <c r="I231" s="8"/>
      <c r="J231" s="8"/>
    </row>
    <row r="232">
      <c r="A232" s="8"/>
      <c r="B232" s="8" t="str">
        <f>IF(ISBLANK(A232),"",VLOOKUP(A232,DOI_URL!$B$1:$C$74,2,FALSE()))</f>
        <v/>
      </c>
      <c r="C232" s="8"/>
      <c r="D232" s="8"/>
      <c r="I232" s="8"/>
      <c r="J232" s="8"/>
    </row>
    <row r="233">
      <c r="A233" s="8"/>
      <c r="B233" s="8" t="str">
        <f>IF(ISBLANK(A233),"",VLOOKUP(A233,DOI_URL!$B$1:$C$74,2,FALSE()))</f>
        <v/>
      </c>
      <c r="C233" s="8"/>
      <c r="D233" s="8"/>
      <c r="I233" s="8"/>
      <c r="J233" s="8"/>
    </row>
    <row r="234">
      <c r="A234" s="8"/>
      <c r="B234" s="8" t="str">
        <f>IF(ISBLANK(A234),"",VLOOKUP(A234,DOI_URL!$B$1:$C$74,2,FALSE()))</f>
        <v/>
      </c>
      <c r="C234" s="8"/>
      <c r="D234" s="8"/>
      <c r="I234" s="8"/>
      <c r="J234" s="8"/>
    </row>
    <row r="235">
      <c r="A235" s="8"/>
      <c r="B235" s="8" t="str">
        <f>IF(ISBLANK(A235),"",VLOOKUP(A235,DOI_URL!$B$1:$C$74,2,FALSE()))</f>
        <v/>
      </c>
      <c r="C235" s="8"/>
      <c r="D235" s="8"/>
      <c r="I235" s="8"/>
      <c r="J235" s="8"/>
    </row>
    <row r="236">
      <c r="A236" s="8"/>
      <c r="B236" s="8" t="str">
        <f>IF(ISBLANK(A236),"",VLOOKUP(A236,DOI_URL!$B$1:$C$74,2,FALSE()))</f>
        <v/>
      </c>
      <c r="C236" s="8"/>
      <c r="D236" s="8"/>
      <c r="I236" s="8"/>
      <c r="J236" s="8"/>
    </row>
    <row r="237">
      <c r="A237" s="8"/>
      <c r="B237" s="8" t="str">
        <f>IF(ISBLANK(A237),"",VLOOKUP(A237,DOI_URL!$B$1:$C$74,2,FALSE()))</f>
        <v/>
      </c>
      <c r="C237" s="8"/>
      <c r="D237" s="8"/>
      <c r="I237" s="8"/>
      <c r="J237" s="8"/>
    </row>
    <row r="238">
      <c r="A238" s="8"/>
      <c r="B238" s="8" t="str">
        <f>IF(ISBLANK(A238),"",VLOOKUP(A238,DOI_URL!$B$1:$C$74,2,FALSE()))</f>
        <v/>
      </c>
      <c r="C238" s="8"/>
      <c r="D238" s="8"/>
      <c r="I238" s="8"/>
      <c r="J238" s="8"/>
    </row>
    <row r="239">
      <c r="A239" s="8"/>
      <c r="B239" s="8" t="str">
        <f>IF(ISBLANK(A239),"",VLOOKUP(A239,DOI_URL!$B$1:$C$74,2,FALSE()))</f>
        <v/>
      </c>
      <c r="C239" s="8"/>
      <c r="D239" s="8"/>
      <c r="I239" s="8"/>
      <c r="J239" s="8"/>
    </row>
    <row r="240">
      <c r="A240" s="8"/>
      <c r="B240" s="8" t="str">
        <f>IF(ISBLANK(A240),"",VLOOKUP(A240,DOI_URL!$B$1:$C$74,2,FALSE()))</f>
        <v/>
      </c>
      <c r="C240" s="8"/>
      <c r="D240" s="8"/>
      <c r="I240" s="8"/>
      <c r="J240" s="8"/>
    </row>
    <row r="241">
      <c r="A241" s="8"/>
      <c r="B241" s="8" t="str">
        <f>IF(ISBLANK(A241),"",VLOOKUP(A241,DOI_URL!$B$1:$C$74,2,FALSE()))</f>
        <v/>
      </c>
      <c r="C241" s="8"/>
      <c r="D241" s="8"/>
      <c r="I241" s="8"/>
      <c r="J241" s="8"/>
    </row>
    <row r="242">
      <c r="A242" s="8"/>
      <c r="B242" s="8" t="str">
        <f>IF(ISBLANK(A242),"",VLOOKUP(A242,DOI_URL!$B$1:$C$74,2,FALSE()))</f>
        <v/>
      </c>
      <c r="C242" s="8"/>
      <c r="D242" s="8"/>
      <c r="I242" s="8"/>
      <c r="J242" s="8"/>
    </row>
    <row r="243">
      <c r="A243" s="8"/>
      <c r="B243" s="8" t="str">
        <f>IF(ISBLANK(A243),"",VLOOKUP(A243,DOI_URL!$B$1:$C$74,2,FALSE()))</f>
        <v/>
      </c>
      <c r="C243" s="8"/>
      <c r="D243" s="8"/>
      <c r="I243" s="8"/>
      <c r="J243" s="8"/>
    </row>
    <row r="244">
      <c r="A244" s="8"/>
      <c r="B244" s="8" t="str">
        <f>IF(ISBLANK(A244),"",VLOOKUP(A244,DOI_URL!$B$1:$C$74,2,FALSE()))</f>
        <v/>
      </c>
      <c r="C244" s="8"/>
      <c r="D244" s="8"/>
      <c r="I244" s="8"/>
      <c r="J244" s="8"/>
    </row>
    <row r="245">
      <c r="A245" s="8"/>
      <c r="B245" s="8" t="str">
        <f>IF(ISBLANK(A245),"",VLOOKUP(A245,DOI_URL!$B$1:$C$74,2,FALSE()))</f>
        <v/>
      </c>
      <c r="C245" s="8"/>
      <c r="D245" s="8"/>
      <c r="I245" s="8"/>
      <c r="J245" s="8"/>
    </row>
    <row r="246">
      <c r="A246" s="8"/>
      <c r="B246" s="8" t="str">
        <f>IF(ISBLANK(A246),"",VLOOKUP(A246,DOI_URL!$B$1:$C$74,2,FALSE()))</f>
        <v/>
      </c>
      <c r="C246" s="8"/>
      <c r="D246" s="8"/>
      <c r="I246" s="8"/>
      <c r="J246" s="8"/>
    </row>
    <row r="247">
      <c r="A247" s="8"/>
      <c r="B247" s="8" t="str">
        <f>IF(ISBLANK(A247),"",VLOOKUP(A247,DOI_URL!$B$1:$C$74,2,FALSE()))</f>
        <v/>
      </c>
      <c r="C247" s="8"/>
      <c r="D247" s="8"/>
      <c r="I247" s="8"/>
      <c r="J247" s="8"/>
    </row>
    <row r="248">
      <c r="A248" s="8"/>
      <c r="B248" s="8" t="str">
        <f>IF(ISBLANK(A248),"",VLOOKUP(A248,DOI_URL!$B$1:$C$74,2,FALSE()))</f>
        <v/>
      </c>
      <c r="C248" s="8"/>
      <c r="D248" s="8"/>
      <c r="I248" s="8"/>
      <c r="J248" s="8"/>
    </row>
    <row r="249">
      <c r="A249" s="8"/>
      <c r="B249" s="8" t="str">
        <f>IF(ISBLANK(A249),"",VLOOKUP(A249,DOI_URL!$B$1:$C$74,2,FALSE()))</f>
        <v/>
      </c>
      <c r="C249" s="8"/>
      <c r="D249" s="8"/>
      <c r="I249" s="8"/>
      <c r="J249" s="8"/>
    </row>
    <row r="250">
      <c r="A250" s="8"/>
      <c r="B250" s="8" t="str">
        <f>IF(ISBLANK(A250),"",VLOOKUP(A250,DOI_URL!$B$1:$C$74,2,FALSE()))</f>
        <v/>
      </c>
      <c r="C250" s="8"/>
      <c r="D250" s="8"/>
      <c r="I250" s="8"/>
      <c r="J250" s="8"/>
    </row>
    <row r="251">
      <c r="A251" s="8"/>
      <c r="B251" s="8" t="str">
        <f>IF(ISBLANK(A251),"",VLOOKUP(A251,DOI_URL!$B$1:$C$74,2,FALSE()))</f>
        <v/>
      </c>
      <c r="C251" s="8"/>
      <c r="D251" s="8"/>
      <c r="I251" s="8"/>
      <c r="J251" s="8"/>
    </row>
    <row r="252">
      <c r="A252" s="8"/>
      <c r="B252" s="8" t="str">
        <f>IF(ISBLANK(A252),"",VLOOKUP(A252,DOI_URL!$B$1:$C$74,2,FALSE()))</f>
        <v/>
      </c>
      <c r="C252" s="8"/>
      <c r="D252" s="8"/>
      <c r="I252" s="8"/>
      <c r="J252" s="8"/>
    </row>
    <row r="253">
      <c r="A253" s="8"/>
      <c r="B253" s="8" t="str">
        <f>IF(ISBLANK(A253),"",VLOOKUP(A253,DOI_URL!$B$1:$C$74,2,FALSE()))</f>
        <v/>
      </c>
      <c r="C253" s="8"/>
      <c r="D253" s="8"/>
      <c r="I253" s="8"/>
      <c r="J253" s="8"/>
    </row>
    <row r="254">
      <c r="A254" s="8"/>
      <c r="B254" s="8" t="str">
        <f>IF(ISBLANK(A254),"",VLOOKUP(A254,DOI_URL!$B$1:$C$74,2,FALSE()))</f>
        <v/>
      </c>
      <c r="C254" s="8"/>
      <c r="D254" s="8"/>
      <c r="I254" s="8"/>
      <c r="J254" s="8"/>
    </row>
    <row r="255">
      <c r="A255" s="8"/>
      <c r="B255" s="8" t="str">
        <f>IF(ISBLANK(A255),"",VLOOKUP(A255,DOI_URL!$B$1:$C$74,2,FALSE()))</f>
        <v/>
      </c>
      <c r="C255" s="8"/>
      <c r="D255" s="8"/>
      <c r="I255" s="8"/>
      <c r="J255" s="8"/>
    </row>
    <row r="256">
      <c r="A256" s="8"/>
      <c r="B256" s="8" t="str">
        <f>IF(ISBLANK(A256),"",VLOOKUP(A256,DOI_URL!$B$1:$C$74,2,FALSE()))</f>
        <v/>
      </c>
      <c r="C256" s="8"/>
      <c r="D256" s="8"/>
      <c r="I256" s="8"/>
      <c r="J256" s="8"/>
    </row>
    <row r="257">
      <c r="A257" s="8"/>
      <c r="B257" s="8" t="str">
        <f>IF(ISBLANK(A257),"",VLOOKUP(A257,DOI_URL!$B$1:$C$74,2,FALSE()))</f>
        <v/>
      </c>
      <c r="C257" s="8"/>
      <c r="D257" s="8"/>
      <c r="I257" s="8"/>
      <c r="J257" s="8"/>
    </row>
    <row r="258">
      <c r="A258" s="8"/>
      <c r="B258" s="8" t="str">
        <f>IF(ISBLANK(A258),"",VLOOKUP(A258,DOI_URL!$B$1:$C$74,2,FALSE()))</f>
        <v/>
      </c>
      <c r="C258" s="8"/>
      <c r="D258" s="8"/>
      <c r="I258" s="8"/>
      <c r="J258" s="8"/>
    </row>
    <row r="259">
      <c r="A259" s="8"/>
      <c r="B259" s="8" t="str">
        <f>IF(ISBLANK(A259),"",VLOOKUP(A259,DOI_URL!$B$1:$C$74,2,FALSE()))</f>
        <v/>
      </c>
      <c r="C259" s="8"/>
      <c r="D259" s="8"/>
      <c r="I259" s="8"/>
      <c r="J259" s="8"/>
    </row>
    <row r="260">
      <c r="A260" s="8"/>
      <c r="B260" s="8" t="str">
        <f>IF(ISBLANK(A260),"",VLOOKUP(A260,DOI_URL!$B$1:$C$74,2,FALSE()))</f>
        <v/>
      </c>
      <c r="C260" s="8"/>
      <c r="D260" s="8"/>
      <c r="I260" s="8"/>
      <c r="J260" s="8"/>
    </row>
    <row r="261">
      <c r="A261" s="8"/>
      <c r="B261" s="8" t="str">
        <f>IF(ISBLANK(A261),"",VLOOKUP(A261,DOI_URL!$B$1:$C$74,2,FALSE()))</f>
        <v/>
      </c>
      <c r="C261" s="8"/>
      <c r="D261" s="8"/>
      <c r="I261" s="8"/>
      <c r="J261" s="8"/>
    </row>
    <row r="262">
      <c r="A262" s="8"/>
      <c r="B262" s="8" t="str">
        <f>IF(ISBLANK(A262),"",VLOOKUP(A262,DOI_URL!$B$1:$C$74,2,FALSE()))</f>
        <v/>
      </c>
      <c r="C262" s="8"/>
      <c r="D262" s="8"/>
      <c r="I262" s="8"/>
      <c r="J262" s="8"/>
    </row>
    <row r="263">
      <c r="A263" s="8"/>
      <c r="B263" s="8" t="str">
        <f>IF(ISBLANK(A263),"",VLOOKUP(A263,DOI_URL!$B$1:$C$74,2,FALSE()))</f>
        <v/>
      </c>
      <c r="C263" s="8"/>
      <c r="D263" s="8"/>
      <c r="I263" s="8"/>
      <c r="J263" s="8"/>
    </row>
    <row r="264">
      <c r="A264" s="8"/>
      <c r="B264" s="8" t="str">
        <f>IF(ISBLANK(A264),"",VLOOKUP(A264,DOI_URL!$B$1:$C$74,2,FALSE()))</f>
        <v/>
      </c>
      <c r="C264" s="8"/>
      <c r="D264" s="8"/>
      <c r="I264" s="8"/>
      <c r="J264" s="8"/>
    </row>
    <row r="265">
      <c r="A265" s="8"/>
      <c r="B265" s="8" t="str">
        <f>IF(ISBLANK(A265),"",VLOOKUP(A265,DOI_URL!$B$1:$C$74,2,FALSE()))</f>
        <v/>
      </c>
      <c r="C265" s="8"/>
      <c r="D265" s="8"/>
      <c r="I265" s="8"/>
      <c r="J265" s="8"/>
    </row>
    <row r="266">
      <c r="A266" s="8"/>
      <c r="B266" s="8" t="str">
        <f>IF(ISBLANK(A266),"",VLOOKUP(A266,DOI_URL!$B$1:$C$74,2,FALSE()))</f>
        <v/>
      </c>
      <c r="C266" s="8"/>
      <c r="D266" s="8"/>
      <c r="I266" s="8"/>
      <c r="J266" s="8"/>
    </row>
    <row r="267">
      <c r="A267" s="8"/>
      <c r="B267" s="8" t="str">
        <f>IF(ISBLANK(A267),"",VLOOKUP(A267,DOI_URL!$B$1:$C$74,2,FALSE()))</f>
        <v/>
      </c>
      <c r="C267" s="8"/>
      <c r="D267" s="8"/>
      <c r="I267" s="8"/>
      <c r="J267" s="8"/>
    </row>
    <row r="268">
      <c r="A268" s="8"/>
      <c r="B268" s="8" t="str">
        <f>IF(ISBLANK(A268),"",VLOOKUP(A268,DOI_URL!$B$1:$C$74,2,FALSE()))</f>
        <v/>
      </c>
      <c r="C268" s="8"/>
      <c r="D268" s="8"/>
      <c r="I268" s="8"/>
      <c r="J268" s="8"/>
    </row>
    <row r="269">
      <c r="A269" s="8"/>
      <c r="B269" s="8" t="str">
        <f>IF(ISBLANK(A269),"",VLOOKUP(A269,DOI_URL!$B$1:$C$74,2,FALSE()))</f>
        <v/>
      </c>
      <c r="C269" s="8"/>
      <c r="D269" s="8"/>
      <c r="I269" s="8"/>
      <c r="J269" s="8"/>
    </row>
    <row r="270">
      <c r="A270" s="8"/>
      <c r="B270" s="8" t="str">
        <f>IF(ISBLANK(A270),"",VLOOKUP(A270,DOI_URL!$B$1:$C$74,2,FALSE()))</f>
        <v/>
      </c>
      <c r="C270" s="8"/>
      <c r="D270" s="8"/>
      <c r="I270" s="8"/>
      <c r="J270" s="8"/>
    </row>
    <row r="271">
      <c r="A271" s="8"/>
      <c r="B271" s="8" t="str">
        <f>IF(ISBLANK(A271),"",VLOOKUP(A271,DOI_URL!$B$1:$C$74,2,FALSE()))</f>
        <v/>
      </c>
      <c r="C271" s="8"/>
      <c r="D271" s="8"/>
      <c r="I271" s="8"/>
      <c r="J271" s="8"/>
    </row>
    <row r="272">
      <c r="A272" s="8"/>
      <c r="B272" s="8" t="str">
        <f>IF(ISBLANK(A272),"",VLOOKUP(A272,DOI_URL!$B$1:$C$74,2,FALSE()))</f>
        <v/>
      </c>
      <c r="C272" s="8"/>
      <c r="D272" s="8"/>
      <c r="I272" s="8"/>
      <c r="J272" s="8"/>
    </row>
    <row r="273">
      <c r="A273" s="8"/>
      <c r="B273" s="8" t="str">
        <f>IF(ISBLANK(A273),"",VLOOKUP(A273,DOI_URL!$B$1:$C$74,2,FALSE()))</f>
        <v/>
      </c>
      <c r="C273" s="8"/>
      <c r="D273" s="8"/>
      <c r="I273" s="8"/>
      <c r="J273" s="8"/>
    </row>
    <row r="274">
      <c r="A274" s="8"/>
      <c r="B274" s="8" t="str">
        <f>IF(ISBLANK(A274),"",VLOOKUP(A274,DOI_URL!$B$1:$C$74,2,FALSE()))</f>
        <v/>
      </c>
      <c r="C274" s="8"/>
      <c r="D274" s="8"/>
      <c r="I274" s="8"/>
      <c r="J274" s="8"/>
    </row>
    <row r="275">
      <c r="A275" s="8"/>
      <c r="B275" s="8" t="str">
        <f>IF(ISBLANK(A275),"",VLOOKUP(A275,DOI_URL!$B$1:$C$74,2,FALSE()))</f>
        <v/>
      </c>
      <c r="C275" s="8"/>
      <c r="D275" s="8"/>
      <c r="I275" s="8"/>
      <c r="J275" s="8"/>
    </row>
    <row r="276">
      <c r="A276" s="8"/>
      <c r="B276" s="8" t="str">
        <f>IF(ISBLANK(A276),"",VLOOKUP(A276,DOI_URL!$B$1:$C$74,2,FALSE()))</f>
        <v/>
      </c>
      <c r="C276" s="8"/>
      <c r="D276" s="8"/>
      <c r="I276" s="8"/>
      <c r="J276" s="8"/>
    </row>
    <row r="277">
      <c r="A277" s="8"/>
      <c r="B277" s="8" t="str">
        <f>IF(ISBLANK(A277),"",VLOOKUP(A277,DOI_URL!$B$1:$C$74,2,FALSE()))</f>
        <v/>
      </c>
      <c r="C277" s="8"/>
      <c r="D277" s="8"/>
      <c r="I277" s="8"/>
      <c r="J277" s="8"/>
    </row>
    <row r="278">
      <c r="A278" s="8"/>
      <c r="B278" s="8" t="str">
        <f>IF(ISBLANK(A278),"",VLOOKUP(A278,DOI_URL!$B$1:$C$74,2,FALSE()))</f>
        <v/>
      </c>
      <c r="C278" s="8"/>
      <c r="D278" s="8"/>
      <c r="I278" s="8"/>
      <c r="J278" s="8"/>
    </row>
    <row r="279">
      <c r="A279" s="8"/>
      <c r="B279" s="8" t="str">
        <f>IF(ISBLANK(A279),"",VLOOKUP(A279,DOI_URL!$B$1:$C$74,2,FALSE()))</f>
        <v/>
      </c>
      <c r="C279" s="8"/>
      <c r="D279" s="8"/>
      <c r="I279" s="8"/>
      <c r="J279" s="8"/>
    </row>
    <row r="280">
      <c r="A280" s="8"/>
      <c r="B280" s="8" t="str">
        <f>IF(ISBLANK(A280),"",VLOOKUP(A280,DOI_URL!$B$1:$C$74,2,FALSE()))</f>
        <v/>
      </c>
      <c r="C280" s="8"/>
      <c r="D280" s="8"/>
      <c r="I280" s="8"/>
      <c r="J280" s="8"/>
    </row>
    <row r="281">
      <c r="A281" s="8"/>
      <c r="B281" s="8" t="str">
        <f>IF(ISBLANK(A281),"",VLOOKUP(A281,DOI_URL!$B$1:$C$74,2,FALSE()))</f>
        <v/>
      </c>
      <c r="C281" s="8"/>
      <c r="D281" s="8"/>
      <c r="I281" s="8"/>
      <c r="J281" s="8"/>
    </row>
    <row r="282">
      <c r="A282" s="8"/>
      <c r="B282" s="8" t="str">
        <f>IF(ISBLANK(A282),"",VLOOKUP(A282,DOI_URL!$B$1:$C$74,2,FALSE()))</f>
        <v/>
      </c>
      <c r="C282" s="8"/>
      <c r="D282" s="8"/>
      <c r="I282" s="8"/>
      <c r="J282" s="8"/>
    </row>
    <row r="283">
      <c r="A283" s="8"/>
      <c r="B283" s="8" t="str">
        <f>IF(ISBLANK(A283),"",VLOOKUP(A283,DOI_URL!$B$1:$C$74,2,FALSE()))</f>
        <v/>
      </c>
      <c r="C283" s="8"/>
      <c r="D283" s="8"/>
      <c r="I283" s="8"/>
      <c r="J283" s="8"/>
    </row>
    <row r="284">
      <c r="A284" s="8"/>
      <c r="B284" s="8" t="str">
        <f>IF(ISBLANK(A284),"",VLOOKUP(A284,DOI_URL!$B$1:$C$74,2,FALSE()))</f>
        <v/>
      </c>
      <c r="C284" s="8"/>
      <c r="D284" s="8"/>
      <c r="I284" s="8"/>
      <c r="J284" s="8"/>
    </row>
    <row r="285">
      <c r="A285" s="8"/>
      <c r="B285" s="8" t="str">
        <f>IF(ISBLANK(A285),"",VLOOKUP(A285,DOI_URL!$B$1:$C$74,2,FALSE()))</f>
        <v/>
      </c>
      <c r="C285" s="8"/>
      <c r="D285" s="8"/>
      <c r="I285" s="8"/>
      <c r="J285" s="8"/>
    </row>
    <row r="286">
      <c r="A286" s="8"/>
      <c r="B286" s="8" t="str">
        <f>IF(ISBLANK(A286),"",VLOOKUP(A286,DOI_URL!$B$1:$C$74,2,FALSE()))</f>
        <v/>
      </c>
      <c r="C286" s="8"/>
      <c r="D286" s="8"/>
      <c r="I286" s="8"/>
      <c r="J286" s="8"/>
    </row>
    <row r="287">
      <c r="A287" s="8"/>
      <c r="B287" s="8" t="str">
        <f>IF(ISBLANK(A287),"",VLOOKUP(A287,DOI_URL!$B$1:$C$74,2,FALSE()))</f>
        <v/>
      </c>
      <c r="C287" s="8"/>
      <c r="D287" s="8"/>
      <c r="I287" s="8"/>
      <c r="J287" s="8"/>
    </row>
    <row r="288">
      <c r="A288" s="8"/>
      <c r="B288" s="8" t="str">
        <f>IF(ISBLANK(A288),"",VLOOKUP(A288,DOI_URL!$B$1:$C$74,2,FALSE()))</f>
        <v/>
      </c>
      <c r="C288" s="8"/>
      <c r="D288" s="8"/>
      <c r="I288" s="8"/>
      <c r="J288" s="8"/>
    </row>
    <row r="289">
      <c r="A289" s="8"/>
      <c r="B289" s="8" t="str">
        <f>IF(ISBLANK(A289),"",VLOOKUP(A289,DOI_URL!$B$1:$C$74,2,FALSE()))</f>
        <v/>
      </c>
      <c r="C289" s="8"/>
      <c r="D289" s="8"/>
      <c r="I289" s="8"/>
      <c r="J289" s="8"/>
    </row>
    <row r="290">
      <c r="A290" s="8"/>
      <c r="B290" s="8" t="str">
        <f>IF(ISBLANK(A290),"",VLOOKUP(A290,DOI_URL!$B$1:$C$74,2,FALSE()))</f>
        <v/>
      </c>
      <c r="C290" s="8"/>
      <c r="D290" s="8"/>
      <c r="I290" s="8"/>
      <c r="J290" s="8"/>
    </row>
    <row r="291">
      <c r="A291" s="8"/>
      <c r="B291" s="8" t="str">
        <f>IF(ISBLANK(A291),"",VLOOKUP(A291,DOI_URL!$B$1:$C$74,2,FALSE()))</f>
        <v/>
      </c>
      <c r="C291" s="8"/>
      <c r="D291" s="8"/>
      <c r="I291" s="8"/>
      <c r="J291" s="8"/>
    </row>
    <row r="292">
      <c r="A292" s="8"/>
      <c r="B292" s="8" t="str">
        <f>IF(ISBLANK(A292),"",VLOOKUP(A292,DOI_URL!$B$1:$C$74,2,FALSE()))</f>
        <v/>
      </c>
      <c r="C292" s="8"/>
      <c r="D292" s="8"/>
      <c r="I292" s="8"/>
      <c r="J292" s="8"/>
    </row>
    <row r="293">
      <c r="A293" s="8"/>
      <c r="B293" s="8" t="str">
        <f>IF(ISBLANK(A293),"",VLOOKUP(A293,DOI_URL!$B$1:$C$74,2,FALSE()))</f>
        <v/>
      </c>
      <c r="C293" s="8"/>
      <c r="D293" s="8"/>
      <c r="I293" s="8"/>
      <c r="J293" s="8"/>
    </row>
    <row r="294">
      <c r="A294" s="8"/>
      <c r="B294" s="8" t="str">
        <f>IF(ISBLANK(A294),"",VLOOKUP(A294,DOI_URL!$B$1:$C$74,2,FALSE()))</f>
        <v/>
      </c>
      <c r="C294" s="8"/>
      <c r="D294" s="8"/>
      <c r="I294" s="8"/>
      <c r="J294" s="8"/>
    </row>
    <row r="295">
      <c r="A295" s="8"/>
      <c r="B295" s="8" t="str">
        <f>IF(ISBLANK(A295),"",VLOOKUP(A295,DOI_URL!$B$1:$C$74,2,FALSE()))</f>
        <v/>
      </c>
      <c r="C295" s="8"/>
      <c r="D295" s="8"/>
      <c r="I295" s="8"/>
      <c r="J295" s="8"/>
    </row>
    <row r="296">
      <c r="A296" s="8"/>
      <c r="B296" s="8" t="str">
        <f>IF(ISBLANK(A296),"",VLOOKUP(A296,DOI_URL!$B$1:$C$74,2,FALSE()))</f>
        <v/>
      </c>
      <c r="C296" s="8"/>
      <c r="D296" s="8"/>
      <c r="I296" s="8"/>
      <c r="J296" s="8"/>
    </row>
    <row r="297">
      <c r="A297" s="8"/>
      <c r="B297" s="8" t="str">
        <f>IF(ISBLANK(A297),"",VLOOKUP(A297,DOI_URL!$B$1:$C$74,2,FALSE()))</f>
        <v/>
      </c>
      <c r="C297" s="8"/>
      <c r="D297" s="8"/>
      <c r="I297" s="8"/>
      <c r="J297" s="8"/>
    </row>
    <row r="298">
      <c r="A298" s="8"/>
      <c r="B298" s="8" t="str">
        <f>IF(ISBLANK(A298),"",VLOOKUP(A298,DOI_URL!$B$1:$C$74,2,FALSE()))</f>
        <v/>
      </c>
      <c r="C298" s="8"/>
      <c r="D298" s="8"/>
      <c r="I298" s="8"/>
      <c r="J298" s="8"/>
    </row>
    <row r="299">
      <c r="A299" s="8"/>
      <c r="B299" s="8" t="str">
        <f>IF(ISBLANK(A299),"",VLOOKUP(A299,DOI_URL!$B$1:$C$74,2,FALSE()))</f>
        <v/>
      </c>
      <c r="C299" s="8"/>
      <c r="D299" s="8"/>
      <c r="I299" s="8"/>
      <c r="J299" s="8"/>
    </row>
    <row r="300">
      <c r="A300" s="8"/>
      <c r="B300" s="8" t="str">
        <f>IF(ISBLANK(A300),"",VLOOKUP(A300,DOI_URL!$B$1:$C$74,2,FALSE()))</f>
        <v/>
      </c>
      <c r="C300" s="8"/>
      <c r="D300" s="8"/>
      <c r="I300" s="8"/>
      <c r="J300" s="8"/>
    </row>
    <row r="301">
      <c r="A301" s="8"/>
      <c r="B301" s="8" t="str">
        <f>IF(ISBLANK(A301),"",VLOOKUP(A301,DOI_URL!$B$1:$C$74,2,FALSE()))</f>
        <v/>
      </c>
      <c r="C301" s="8"/>
      <c r="D301" s="8"/>
      <c r="I301" s="8"/>
      <c r="J301" s="8"/>
    </row>
    <row r="302">
      <c r="A302" s="8"/>
      <c r="B302" s="8" t="str">
        <f>IF(ISBLANK(A302),"",VLOOKUP(A302,DOI_URL!$B$1:$C$74,2,FALSE()))</f>
        <v/>
      </c>
      <c r="C302" s="8"/>
      <c r="D302" s="8"/>
      <c r="I302" s="8"/>
      <c r="J302" s="8"/>
    </row>
    <row r="303">
      <c r="A303" s="8"/>
      <c r="B303" s="8" t="str">
        <f>IF(ISBLANK(A303),"",VLOOKUP(A303,DOI_URL!$B$1:$C$74,2,FALSE()))</f>
        <v/>
      </c>
      <c r="C303" s="8"/>
      <c r="D303" s="8"/>
      <c r="I303" s="8"/>
      <c r="J303" s="8"/>
    </row>
    <row r="304">
      <c r="A304" s="8"/>
      <c r="B304" s="8" t="str">
        <f>IF(ISBLANK(A304),"",VLOOKUP(A304,DOI_URL!$B$1:$C$74,2,FALSE()))</f>
        <v/>
      </c>
      <c r="C304" s="8"/>
      <c r="D304" s="8"/>
      <c r="I304" s="8"/>
      <c r="J304" s="8"/>
    </row>
    <row r="305">
      <c r="A305" s="8"/>
      <c r="B305" s="8" t="str">
        <f>IF(ISBLANK(A305),"",VLOOKUP(A305,DOI_URL!$B$1:$C$74,2,FALSE()))</f>
        <v/>
      </c>
      <c r="C305" s="8"/>
      <c r="D305" s="8"/>
      <c r="I305" s="8"/>
      <c r="J305" s="8"/>
    </row>
    <row r="306">
      <c r="A306" s="8"/>
      <c r="B306" s="8" t="str">
        <f>IF(ISBLANK(A306),"",VLOOKUP(A306,DOI_URL!$B$1:$C$74,2,FALSE()))</f>
        <v/>
      </c>
      <c r="C306" s="8"/>
      <c r="D306" s="8"/>
      <c r="I306" s="8"/>
      <c r="J306" s="8"/>
    </row>
    <row r="307">
      <c r="A307" s="8"/>
      <c r="B307" s="8" t="str">
        <f>IF(ISBLANK(A307),"",VLOOKUP(A307,DOI_URL!$B$1:$C$74,2,FALSE()))</f>
        <v/>
      </c>
      <c r="C307" s="8"/>
      <c r="D307" s="8"/>
      <c r="I307" s="8"/>
      <c r="J307" s="8"/>
    </row>
    <row r="308">
      <c r="A308" s="8"/>
      <c r="B308" s="8" t="str">
        <f>IF(ISBLANK(A308),"",VLOOKUP(A308,DOI_URL!$B$1:$C$74,2,FALSE()))</f>
        <v/>
      </c>
      <c r="C308" s="8"/>
      <c r="D308" s="8"/>
      <c r="I308" s="8"/>
      <c r="J308" s="8"/>
    </row>
    <row r="309">
      <c r="A309" s="8"/>
      <c r="B309" s="8" t="str">
        <f>IF(ISBLANK(A309),"",VLOOKUP(A309,DOI_URL!$B$1:$C$74,2,FALSE()))</f>
        <v/>
      </c>
      <c r="C309" s="8"/>
      <c r="D309" s="8"/>
      <c r="I309" s="8"/>
      <c r="J309" s="8"/>
    </row>
    <row r="310">
      <c r="A310" s="8"/>
      <c r="B310" s="8" t="str">
        <f>IF(ISBLANK(A310),"",VLOOKUP(A310,DOI_URL!$B$1:$C$74,2,FALSE()))</f>
        <v/>
      </c>
      <c r="C310" s="8"/>
      <c r="D310" s="8"/>
      <c r="I310" s="8"/>
      <c r="J310" s="8"/>
    </row>
    <row r="311">
      <c r="A311" s="8"/>
      <c r="B311" s="8" t="str">
        <f>IF(ISBLANK(A311),"",VLOOKUP(A311,DOI_URL!$B$1:$C$74,2,FALSE()))</f>
        <v/>
      </c>
      <c r="C311" s="8"/>
      <c r="D311" s="8"/>
      <c r="I311" s="8"/>
      <c r="J311" s="8"/>
    </row>
    <row r="312">
      <c r="A312" s="8"/>
      <c r="B312" s="8" t="str">
        <f>IF(ISBLANK(A312),"",VLOOKUP(A312,DOI_URL!$B$1:$C$74,2,FALSE()))</f>
        <v/>
      </c>
      <c r="C312" s="8"/>
      <c r="D312" s="8"/>
      <c r="I312" s="8"/>
      <c r="J312" s="8"/>
    </row>
    <row r="313">
      <c r="A313" s="8"/>
      <c r="B313" s="8" t="str">
        <f>IF(ISBLANK(A313),"",VLOOKUP(A313,DOI_URL!$B$1:$C$74,2,FALSE()))</f>
        <v/>
      </c>
      <c r="C313" s="8"/>
      <c r="D313" s="8"/>
      <c r="I313" s="8"/>
      <c r="J313" s="8"/>
    </row>
    <row r="314">
      <c r="A314" s="8"/>
      <c r="B314" s="8" t="str">
        <f>IF(ISBLANK(A314),"",VLOOKUP(A314,DOI_URL!$B$1:$C$74,2,FALSE()))</f>
        <v/>
      </c>
      <c r="C314" s="8"/>
      <c r="D314" s="8"/>
      <c r="I314" s="8"/>
      <c r="J314" s="8"/>
    </row>
    <row r="315">
      <c r="A315" s="8"/>
      <c r="B315" s="8" t="str">
        <f>IF(ISBLANK(A315),"",VLOOKUP(A315,DOI_URL!$B$1:$C$74,2,FALSE()))</f>
        <v/>
      </c>
      <c r="C315" s="8"/>
      <c r="D315" s="8"/>
      <c r="I315" s="8"/>
      <c r="J315" s="8"/>
    </row>
    <row r="316">
      <c r="A316" s="8"/>
      <c r="B316" s="8" t="str">
        <f>IF(ISBLANK(A316),"",VLOOKUP(A316,DOI_URL!$B$1:$C$74,2,FALSE()))</f>
        <v/>
      </c>
      <c r="C316" s="8"/>
      <c r="D316" s="8"/>
      <c r="I316" s="8"/>
      <c r="J316" s="8"/>
    </row>
    <row r="317">
      <c r="A317" s="8"/>
      <c r="B317" s="8" t="str">
        <f>IF(ISBLANK(A317),"",VLOOKUP(A317,DOI_URL!$B$1:$C$74,2,FALSE()))</f>
        <v/>
      </c>
      <c r="C317" s="8"/>
      <c r="D317" s="8"/>
      <c r="I317" s="8"/>
      <c r="J317" s="8"/>
    </row>
    <row r="318">
      <c r="A318" s="8"/>
      <c r="B318" s="8" t="str">
        <f>IF(ISBLANK(A318),"",VLOOKUP(A318,DOI_URL!$B$1:$C$74,2,FALSE()))</f>
        <v/>
      </c>
      <c r="C318" s="8"/>
      <c r="D318" s="8"/>
      <c r="I318" s="8"/>
      <c r="J318" s="8"/>
    </row>
    <row r="319">
      <c r="A319" s="8"/>
      <c r="B319" s="8" t="str">
        <f>IF(ISBLANK(A319),"",VLOOKUP(A319,DOI_URL!$B$1:$C$74,2,FALSE()))</f>
        <v/>
      </c>
      <c r="C319" s="8"/>
      <c r="D319" s="8"/>
      <c r="I319" s="8"/>
      <c r="J319" s="8"/>
    </row>
    <row r="320">
      <c r="A320" s="8"/>
      <c r="B320" s="8" t="str">
        <f>IF(ISBLANK(A320),"",VLOOKUP(A320,DOI_URL!$B$1:$C$74,2,FALSE()))</f>
        <v/>
      </c>
      <c r="C320" s="8"/>
      <c r="D320" s="8"/>
      <c r="I320" s="8"/>
      <c r="J320" s="8"/>
    </row>
    <row r="321">
      <c r="A321" s="8"/>
      <c r="B321" s="8" t="str">
        <f>IF(ISBLANK(A321),"",VLOOKUP(A321,DOI_URL!$B$1:$C$74,2,FALSE()))</f>
        <v/>
      </c>
      <c r="C321" s="8"/>
      <c r="D321" s="8"/>
      <c r="I321" s="8"/>
      <c r="J321" s="8"/>
    </row>
    <row r="322">
      <c r="A322" s="8"/>
      <c r="B322" s="8" t="str">
        <f>IF(ISBLANK(A322),"",VLOOKUP(A322,DOI_URL!$B$1:$C$74,2,FALSE()))</f>
        <v/>
      </c>
      <c r="C322" s="8"/>
      <c r="D322" s="8"/>
      <c r="I322" s="8"/>
      <c r="J322" s="8"/>
    </row>
    <row r="323">
      <c r="A323" s="8"/>
      <c r="B323" s="8" t="str">
        <f>IF(ISBLANK(A323),"",VLOOKUP(A323,DOI_URL!$B$1:$C$74,2,FALSE()))</f>
        <v/>
      </c>
      <c r="C323" s="8"/>
      <c r="D323" s="8"/>
      <c r="I323" s="8"/>
      <c r="J323" s="8"/>
    </row>
    <row r="324">
      <c r="A324" s="8"/>
      <c r="B324" s="8" t="str">
        <f>IF(ISBLANK(A324),"",VLOOKUP(A324,DOI_URL!$B$1:$C$74,2,FALSE()))</f>
        <v/>
      </c>
      <c r="C324" s="8"/>
      <c r="D324" s="8"/>
      <c r="I324" s="8"/>
      <c r="J324" s="8"/>
    </row>
    <row r="325">
      <c r="A325" s="8"/>
      <c r="B325" s="8" t="str">
        <f>IF(ISBLANK(A325),"",VLOOKUP(A325,DOI_URL!$B$1:$C$74,2,FALSE()))</f>
        <v/>
      </c>
      <c r="C325" s="8"/>
      <c r="D325" s="8"/>
      <c r="I325" s="8"/>
      <c r="J325" s="8"/>
    </row>
    <row r="326">
      <c r="A326" s="8"/>
      <c r="B326" s="8" t="str">
        <f>IF(ISBLANK(A326),"",VLOOKUP(A326,DOI_URL!$B$1:$C$74,2,FALSE()))</f>
        <v/>
      </c>
      <c r="C326" s="8"/>
      <c r="D326" s="8"/>
      <c r="I326" s="8"/>
      <c r="J326" s="8"/>
    </row>
    <row r="327">
      <c r="A327" s="8"/>
      <c r="B327" s="8" t="str">
        <f>IF(ISBLANK(A327),"",VLOOKUP(A327,DOI_URL!$B$1:$C$74,2,FALSE()))</f>
        <v/>
      </c>
      <c r="C327" s="8"/>
      <c r="D327" s="8"/>
      <c r="I327" s="8"/>
      <c r="J327" s="8"/>
    </row>
    <row r="328">
      <c r="A328" s="8"/>
      <c r="B328" s="8" t="str">
        <f>IF(ISBLANK(A328),"",VLOOKUP(A328,DOI_URL!$B$1:$C$74,2,FALSE()))</f>
        <v/>
      </c>
      <c r="C328" s="8"/>
      <c r="D328" s="8"/>
      <c r="I328" s="8"/>
      <c r="J328" s="8"/>
    </row>
    <row r="329">
      <c r="A329" s="8"/>
      <c r="B329" s="8" t="str">
        <f>IF(ISBLANK(A329),"",VLOOKUP(A329,DOI_URL!$B$1:$C$74,2,FALSE()))</f>
        <v/>
      </c>
      <c r="C329" s="8"/>
      <c r="D329" s="8"/>
      <c r="I329" s="8"/>
      <c r="J329" s="8"/>
    </row>
    <row r="330">
      <c r="A330" s="8"/>
      <c r="B330" s="8" t="str">
        <f>IF(ISBLANK(A330),"",VLOOKUP(A330,DOI_URL!$B$1:$C$74,2,FALSE()))</f>
        <v/>
      </c>
      <c r="C330" s="8"/>
      <c r="D330" s="8"/>
      <c r="I330" s="8"/>
      <c r="J330" s="8"/>
    </row>
    <row r="331">
      <c r="A331" s="8"/>
      <c r="B331" s="8" t="str">
        <f>IF(ISBLANK(A331),"",VLOOKUP(A331,DOI_URL!$B$1:$C$74,2,FALSE()))</f>
        <v/>
      </c>
      <c r="C331" s="8"/>
      <c r="D331" s="8"/>
      <c r="I331" s="8"/>
      <c r="J331" s="8"/>
    </row>
    <row r="332">
      <c r="A332" s="8"/>
      <c r="B332" s="8" t="str">
        <f>IF(ISBLANK(A332),"",VLOOKUP(A332,DOI_URL!$B$1:$C$74,2,FALSE()))</f>
        <v/>
      </c>
      <c r="C332" s="8"/>
      <c r="D332" s="8"/>
      <c r="I332" s="8"/>
      <c r="J332" s="8"/>
    </row>
    <row r="333">
      <c r="A333" s="8"/>
      <c r="B333" s="8" t="str">
        <f>IF(ISBLANK(A333),"",VLOOKUP(A333,DOI_URL!$B$1:$C$74,2,FALSE()))</f>
        <v/>
      </c>
      <c r="C333" s="8"/>
      <c r="D333" s="8"/>
      <c r="I333" s="8"/>
      <c r="J333" s="8"/>
    </row>
    <row r="334">
      <c r="A334" s="8"/>
      <c r="B334" s="8" t="str">
        <f>IF(ISBLANK(A334),"",VLOOKUP(A334,DOI_URL!$B$1:$C$74,2,FALSE()))</f>
        <v/>
      </c>
      <c r="C334" s="8"/>
      <c r="D334" s="8"/>
      <c r="I334" s="8"/>
      <c r="J334" s="8"/>
    </row>
    <row r="335">
      <c r="A335" s="8"/>
      <c r="B335" s="8" t="str">
        <f>IF(ISBLANK(A335),"",VLOOKUP(A335,DOI_URL!$B$1:$C$74,2,FALSE()))</f>
        <v/>
      </c>
      <c r="C335" s="8"/>
      <c r="D335" s="8"/>
      <c r="I335" s="8"/>
      <c r="J335" s="8"/>
    </row>
    <row r="336">
      <c r="A336" s="8"/>
      <c r="B336" s="8" t="str">
        <f>IF(ISBLANK(A336),"",VLOOKUP(A336,DOI_URL!$B$1:$C$74,2,FALSE()))</f>
        <v/>
      </c>
      <c r="C336" s="8"/>
      <c r="D336" s="8"/>
      <c r="I336" s="8"/>
      <c r="J336" s="8"/>
    </row>
    <row r="337">
      <c r="A337" s="8"/>
      <c r="B337" s="8" t="str">
        <f>IF(ISBLANK(A337),"",VLOOKUP(A337,DOI_URL!$B$1:$C$74,2,FALSE()))</f>
        <v/>
      </c>
      <c r="C337" s="8"/>
      <c r="D337" s="8"/>
      <c r="I337" s="8"/>
      <c r="J337" s="8"/>
    </row>
    <row r="338">
      <c r="A338" s="8"/>
      <c r="B338" s="8" t="str">
        <f>IF(ISBLANK(A338),"",VLOOKUP(A338,DOI_URL!$B$1:$C$74,2,FALSE()))</f>
        <v/>
      </c>
      <c r="C338" s="8"/>
      <c r="D338" s="8"/>
      <c r="I338" s="8"/>
      <c r="J338" s="8"/>
    </row>
    <row r="339">
      <c r="A339" s="8"/>
      <c r="B339" s="8" t="str">
        <f>IF(ISBLANK(A339),"",VLOOKUP(A339,DOI_URL!$B$1:$C$74,2,FALSE()))</f>
        <v/>
      </c>
      <c r="C339" s="8"/>
      <c r="D339" s="8"/>
      <c r="I339" s="8"/>
      <c r="J339" s="8"/>
    </row>
    <row r="340">
      <c r="A340" s="8"/>
      <c r="B340" s="8" t="str">
        <f>IF(ISBLANK(A340),"",VLOOKUP(A340,DOI_URL!$B$1:$C$74,2,FALSE()))</f>
        <v/>
      </c>
      <c r="C340" s="8"/>
      <c r="D340" s="8"/>
      <c r="I340" s="8"/>
      <c r="J340" s="8"/>
    </row>
    <row r="341">
      <c r="A341" s="8"/>
      <c r="B341" s="8" t="str">
        <f>IF(ISBLANK(A341),"",VLOOKUP(A341,DOI_URL!$B$1:$C$74,2,FALSE()))</f>
        <v/>
      </c>
      <c r="C341" s="8"/>
      <c r="D341" s="8"/>
      <c r="I341" s="8"/>
      <c r="J341" s="8"/>
    </row>
    <row r="342">
      <c r="A342" s="8"/>
      <c r="B342" s="8" t="str">
        <f>IF(ISBLANK(A342),"",VLOOKUP(A342,DOI_URL!$B$1:$C$74,2,FALSE()))</f>
        <v/>
      </c>
      <c r="C342" s="8"/>
      <c r="D342" s="8"/>
      <c r="I342" s="8"/>
      <c r="J342" s="8"/>
    </row>
    <row r="343">
      <c r="A343" s="8"/>
      <c r="B343" s="8" t="str">
        <f>IF(ISBLANK(A343),"",VLOOKUP(A343,DOI_URL!$B$1:$C$74,2,FALSE()))</f>
        <v/>
      </c>
      <c r="C343" s="8"/>
      <c r="D343" s="8"/>
      <c r="I343" s="8"/>
      <c r="J343" s="8"/>
    </row>
    <row r="344">
      <c r="A344" s="8"/>
      <c r="B344" s="8" t="str">
        <f>IF(ISBLANK(A344),"",VLOOKUP(A344,DOI_URL!$B$1:$C$74,2,FALSE()))</f>
        <v/>
      </c>
      <c r="C344" s="8"/>
      <c r="D344" s="8"/>
      <c r="I344" s="8"/>
      <c r="J344" s="8"/>
    </row>
    <row r="345">
      <c r="A345" s="8"/>
      <c r="B345" s="8" t="str">
        <f>IF(ISBLANK(A345),"",VLOOKUP(A345,DOI_URL!$B$1:$C$74,2,FALSE()))</f>
        <v/>
      </c>
      <c r="C345" s="8"/>
      <c r="D345" s="8"/>
      <c r="I345" s="8"/>
      <c r="J345" s="8"/>
    </row>
    <row r="346">
      <c r="A346" s="8"/>
      <c r="B346" s="8" t="str">
        <f>IF(ISBLANK(A346),"",VLOOKUP(A346,DOI_URL!$B$1:$C$74,2,FALSE()))</f>
        <v/>
      </c>
      <c r="C346" s="8"/>
      <c r="D346" s="8"/>
      <c r="I346" s="8"/>
      <c r="J346" s="8"/>
    </row>
    <row r="347">
      <c r="A347" s="8"/>
      <c r="B347" s="8" t="str">
        <f>IF(ISBLANK(A347),"",VLOOKUP(A347,DOI_URL!$B$1:$C$74,2,FALSE()))</f>
        <v/>
      </c>
      <c r="C347" s="8"/>
      <c r="D347" s="8"/>
      <c r="I347" s="8"/>
      <c r="J347" s="8"/>
    </row>
    <row r="348">
      <c r="A348" s="8"/>
      <c r="B348" s="8" t="str">
        <f>IF(ISBLANK(A348),"",VLOOKUP(A348,DOI_URL!$B$1:$C$74,2,FALSE()))</f>
        <v/>
      </c>
      <c r="C348" s="8"/>
      <c r="D348" s="8"/>
      <c r="I348" s="8"/>
      <c r="J348" s="8"/>
    </row>
    <row r="349">
      <c r="A349" s="8"/>
      <c r="B349" s="8" t="str">
        <f>IF(ISBLANK(A349),"",VLOOKUP(A349,DOI_URL!$B$1:$C$74,2,FALSE()))</f>
        <v/>
      </c>
      <c r="C349" s="8"/>
      <c r="D349" s="8"/>
      <c r="I349" s="8"/>
      <c r="J349" s="8"/>
    </row>
    <row r="350">
      <c r="A350" s="8"/>
      <c r="B350" s="8" t="str">
        <f>IF(ISBLANK(A350),"",VLOOKUP(A350,DOI_URL!$B$1:$C$74,2,FALSE()))</f>
        <v/>
      </c>
      <c r="C350" s="8"/>
      <c r="D350" s="8"/>
      <c r="I350" s="8"/>
      <c r="J350" s="8"/>
    </row>
    <row r="351">
      <c r="A351" s="8"/>
      <c r="B351" s="8" t="str">
        <f>IF(ISBLANK(A351),"",VLOOKUP(A351,DOI_URL!$B$1:$C$74,2,FALSE()))</f>
        <v/>
      </c>
      <c r="C351" s="8"/>
      <c r="D351" s="8"/>
      <c r="I351" s="8"/>
      <c r="J351" s="8"/>
    </row>
    <row r="352">
      <c r="A352" s="8"/>
      <c r="B352" s="8" t="str">
        <f>IF(ISBLANK(A352),"",VLOOKUP(A352,DOI_URL!$B$1:$C$74,2,FALSE()))</f>
        <v/>
      </c>
      <c r="C352" s="8"/>
      <c r="D352" s="8"/>
      <c r="I352" s="8"/>
      <c r="J352" s="8"/>
    </row>
    <row r="353">
      <c r="A353" s="8"/>
      <c r="B353" s="8" t="str">
        <f>IF(ISBLANK(A353),"",VLOOKUP(A353,DOI_URL!$B$1:$C$74,2,FALSE()))</f>
        <v/>
      </c>
      <c r="C353" s="8"/>
      <c r="D353" s="8"/>
      <c r="I353" s="8"/>
      <c r="J353" s="8"/>
    </row>
    <row r="354">
      <c r="A354" s="8"/>
      <c r="B354" s="8" t="str">
        <f>IF(ISBLANK(A354),"",VLOOKUP(A354,DOI_URL!$B$1:$C$74,2,FALSE()))</f>
        <v/>
      </c>
      <c r="C354" s="8"/>
      <c r="D354" s="8"/>
      <c r="I354" s="8"/>
      <c r="J354" s="8"/>
    </row>
    <row r="355">
      <c r="A355" s="8"/>
      <c r="B355" s="8" t="str">
        <f>IF(ISBLANK(A355),"",VLOOKUP(A355,DOI_URL!$B$1:$C$74,2,FALSE()))</f>
        <v/>
      </c>
      <c r="C355" s="8"/>
      <c r="D355" s="8"/>
      <c r="I355" s="8"/>
      <c r="J355" s="8"/>
    </row>
    <row r="356">
      <c r="A356" s="8"/>
      <c r="B356" s="8" t="str">
        <f>IF(ISBLANK(A356),"",VLOOKUP(A356,DOI_URL!$B$1:$C$74,2,FALSE()))</f>
        <v/>
      </c>
      <c r="C356" s="8"/>
      <c r="D356" s="8"/>
      <c r="I356" s="8"/>
      <c r="J356" s="8"/>
    </row>
    <row r="357">
      <c r="A357" s="8"/>
      <c r="B357" s="8" t="str">
        <f>IF(ISBLANK(A357),"",VLOOKUP(A357,DOI_URL!$B$1:$C$74,2,FALSE()))</f>
        <v/>
      </c>
      <c r="C357" s="8"/>
      <c r="D357" s="8"/>
      <c r="I357" s="8"/>
      <c r="J357" s="8"/>
    </row>
    <row r="358">
      <c r="A358" s="8"/>
      <c r="B358" s="8" t="str">
        <f>IF(ISBLANK(A358),"",VLOOKUP(A358,DOI_URL!$B$1:$C$74,2,FALSE()))</f>
        <v/>
      </c>
      <c r="C358" s="8"/>
      <c r="D358" s="8"/>
      <c r="I358" s="8"/>
      <c r="J358" s="8"/>
    </row>
    <row r="359">
      <c r="A359" s="8"/>
      <c r="B359" s="8" t="str">
        <f>IF(ISBLANK(A359),"",VLOOKUP(A359,DOI_URL!$B$1:$C$74,2,FALSE()))</f>
        <v/>
      </c>
      <c r="C359" s="8"/>
      <c r="D359" s="8"/>
      <c r="I359" s="8"/>
      <c r="J359" s="8"/>
    </row>
    <row r="360">
      <c r="A360" s="8"/>
      <c r="B360" s="8" t="str">
        <f>IF(ISBLANK(A360),"",VLOOKUP(A360,DOI_URL!$B$1:$C$74,2,FALSE()))</f>
        <v/>
      </c>
      <c r="C360" s="8"/>
      <c r="D360" s="8"/>
      <c r="I360" s="8"/>
      <c r="J360" s="8"/>
    </row>
    <row r="361">
      <c r="A361" s="8"/>
      <c r="B361" s="8" t="str">
        <f>IF(ISBLANK(A361),"",VLOOKUP(A361,DOI_URL!$B$1:$C$74,2,FALSE()))</f>
        <v/>
      </c>
      <c r="C361" s="8"/>
      <c r="D361" s="8"/>
      <c r="I361" s="8"/>
      <c r="J361" s="8"/>
    </row>
    <row r="362">
      <c r="A362" s="8"/>
      <c r="B362" s="8" t="str">
        <f>IF(ISBLANK(A362),"",VLOOKUP(A362,DOI_URL!$B$1:$C$74,2,FALSE()))</f>
        <v/>
      </c>
      <c r="C362" s="8"/>
      <c r="D362" s="8"/>
      <c r="I362" s="8"/>
      <c r="J362" s="8"/>
    </row>
    <row r="363">
      <c r="A363" s="8"/>
      <c r="B363" s="8" t="str">
        <f>IF(ISBLANK(A363),"",VLOOKUP(A363,DOI_URL!$B$1:$C$74,2,FALSE()))</f>
        <v/>
      </c>
      <c r="C363" s="8"/>
      <c r="D363" s="8"/>
      <c r="I363" s="8"/>
      <c r="J363" s="8"/>
    </row>
    <row r="364">
      <c r="A364" s="8"/>
      <c r="B364" s="8" t="str">
        <f>IF(ISBLANK(A364),"",VLOOKUP(A364,DOI_URL!$B$1:$C$74,2,FALSE()))</f>
        <v/>
      </c>
      <c r="C364" s="8"/>
      <c r="D364" s="8"/>
      <c r="I364" s="8"/>
      <c r="J364" s="8"/>
    </row>
    <row r="365">
      <c r="A365" s="8"/>
      <c r="B365" s="8" t="str">
        <f>IF(ISBLANK(A365),"",VLOOKUP(A365,DOI_URL!$B$1:$C$74,2,FALSE()))</f>
        <v/>
      </c>
      <c r="C365" s="8"/>
      <c r="D365" s="8"/>
      <c r="I365" s="8"/>
      <c r="J365" s="8"/>
    </row>
    <row r="366">
      <c r="A366" s="8"/>
      <c r="B366" s="8" t="str">
        <f>IF(ISBLANK(A366),"",VLOOKUP(A366,DOI_URL!$B$1:$C$74,2,FALSE()))</f>
        <v/>
      </c>
      <c r="C366" s="8"/>
      <c r="D366" s="8"/>
      <c r="I366" s="8"/>
      <c r="J366" s="8"/>
    </row>
    <row r="367">
      <c r="A367" s="8"/>
      <c r="B367" s="8" t="str">
        <f>IF(ISBLANK(A367),"",VLOOKUP(A367,DOI_URL!$B$1:$C$74,2,FALSE()))</f>
        <v/>
      </c>
      <c r="C367" s="8"/>
      <c r="D367" s="8"/>
      <c r="I367" s="8"/>
      <c r="J367" s="8"/>
    </row>
    <row r="368">
      <c r="A368" s="8"/>
      <c r="B368" s="8" t="str">
        <f>IF(ISBLANK(A368),"",VLOOKUP(A368,DOI_URL!$B$1:$C$74,2,FALSE()))</f>
        <v/>
      </c>
      <c r="C368" s="8"/>
      <c r="D368" s="8"/>
      <c r="I368" s="8"/>
      <c r="J368" s="8"/>
    </row>
    <row r="369">
      <c r="A369" s="8"/>
      <c r="B369" s="8" t="str">
        <f>IF(ISBLANK(A369),"",VLOOKUP(A369,DOI_URL!$B$1:$C$74,2,FALSE()))</f>
        <v/>
      </c>
      <c r="C369" s="8"/>
      <c r="D369" s="8"/>
      <c r="I369" s="8"/>
      <c r="J369" s="8"/>
    </row>
    <row r="370">
      <c r="A370" s="8"/>
      <c r="B370" s="8" t="str">
        <f>IF(ISBLANK(A370),"",VLOOKUP(A370,DOI_URL!$B$1:$C$74,2,FALSE()))</f>
        <v/>
      </c>
      <c r="C370" s="8"/>
      <c r="D370" s="8"/>
      <c r="I370" s="8"/>
      <c r="J370" s="8"/>
    </row>
    <row r="371">
      <c r="A371" s="8"/>
      <c r="B371" s="8" t="str">
        <f>IF(ISBLANK(A371),"",VLOOKUP(A371,DOI_URL!$B$1:$C$74,2,FALSE()))</f>
        <v/>
      </c>
      <c r="C371" s="8"/>
      <c r="D371" s="8"/>
      <c r="I371" s="8"/>
      <c r="J371" s="8"/>
    </row>
    <row r="372">
      <c r="A372" s="8"/>
      <c r="B372" s="8" t="str">
        <f>IF(ISBLANK(A372),"",VLOOKUP(A372,DOI_URL!$B$1:$C$74,2,FALSE()))</f>
        <v/>
      </c>
      <c r="C372" s="8"/>
      <c r="D372" s="8"/>
      <c r="I372" s="8"/>
      <c r="J372" s="8"/>
    </row>
    <row r="373">
      <c r="A373" s="8"/>
      <c r="B373" s="8" t="str">
        <f>IF(ISBLANK(A373),"",VLOOKUP(A373,DOI_URL!$B$1:$C$74,2,FALSE()))</f>
        <v/>
      </c>
      <c r="C373" s="8"/>
      <c r="D373" s="8"/>
      <c r="I373" s="8"/>
      <c r="J373" s="8"/>
    </row>
    <row r="374">
      <c r="A374" s="8"/>
      <c r="B374" s="8" t="str">
        <f>IF(ISBLANK(A374),"",VLOOKUP(A374,DOI_URL!$B$1:$C$74,2,FALSE()))</f>
        <v/>
      </c>
      <c r="C374" s="8"/>
      <c r="D374" s="8"/>
      <c r="I374" s="8"/>
      <c r="J374" s="8"/>
    </row>
    <row r="375">
      <c r="A375" s="8"/>
      <c r="B375" s="8" t="str">
        <f>IF(ISBLANK(A375),"",VLOOKUP(A375,DOI_URL!$B$1:$C$74,2,FALSE()))</f>
        <v/>
      </c>
      <c r="C375" s="8"/>
      <c r="D375" s="8"/>
      <c r="I375" s="8"/>
      <c r="J375" s="8"/>
    </row>
    <row r="376">
      <c r="A376" s="8"/>
      <c r="B376" s="8" t="str">
        <f>IF(ISBLANK(A376),"",VLOOKUP(A376,DOI_URL!$B$1:$C$74,2,FALSE()))</f>
        <v/>
      </c>
      <c r="C376" s="8"/>
      <c r="D376" s="8"/>
      <c r="I376" s="8"/>
      <c r="J376" s="8"/>
    </row>
    <row r="377">
      <c r="A377" s="8"/>
      <c r="B377" s="8" t="str">
        <f>IF(ISBLANK(A377),"",VLOOKUP(A377,DOI_URL!$B$1:$C$74,2,FALSE()))</f>
        <v/>
      </c>
      <c r="C377" s="8"/>
      <c r="D377" s="8"/>
      <c r="I377" s="8"/>
      <c r="J377" s="8"/>
    </row>
    <row r="378">
      <c r="A378" s="8"/>
      <c r="B378" s="8" t="str">
        <f>IF(ISBLANK(A378),"",VLOOKUP(A378,DOI_URL!$B$1:$C$74,2,FALSE()))</f>
        <v/>
      </c>
      <c r="C378" s="8"/>
      <c r="D378" s="8"/>
      <c r="I378" s="8"/>
      <c r="J378" s="8"/>
    </row>
    <row r="379">
      <c r="A379" s="8"/>
      <c r="B379" s="8" t="str">
        <f>IF(ISBLANK(A379),"",VLOOKUP(A379,DOI_URL!$B$1:$C$74,2,FALSE()))</f>
        <v/>
      </c>
      <c r="C379" s="8"/>
      <c r="D379" s="8"/>
      <c r="I379" s="8"/>
      <c r="J379" s="8"/>
    </row>
    <row r="380">
      <c r="A380" s="8"/>
      <c r="B380" s="8" t="str">
        <f>IF(ISBLANK(A380),"",VLOOKUP(A380,DOI_URL!$B$1:$C$74,2,FALSE()))</f>
        <v/>
      </c>
      <c r="C380" s="8"/>
      <c r="D380" s="8"/>
      <c r="I380" s="8"/>
      <c r="J380" s="8"/>
    </row>
    <row r="381">
      <c r="A381" s="8"/>
      <c r="B381" s="8" t="str">
        <f>IF(ISBLANK(A381),"",VLOOKUP(A381,DOI_URL!$B$1:$C$74,2,FALSE()))</f>
        <v/>
      </c>
      <c r="C381" s="8"/>
      <c r="D381" s="8"/>
      <c r="I381" s="8"/>
      <c r="J381" s="8"/>
    </row>
    <row r="382">
      <c r="A382" s="8"/>
      <c r="B382" s="8" t="str">
        <f>IF(ISBLANK(A382),"",VLOOKUP(A382,DOI_URL!$B$1:$C$74,2,FALSE()))</f>
        <v/>
      </c>
      <c r="C382" s="8"/>
      <c r="D382" s="8"/>
      <c r="I382" s="8"/>
      <c r="J382" s="8"/>
    </row>
    <row r="383">
      <c r="A383" s="8"/>
      <c r="B383" s="8" t="str">
        <f>IF(ISBLANK(A383),"",VLOOKUP(A383,DOI_URL!$B$1:$C$74,2,FALSE()))</f>
        <v/>
      </c>
      <c r="C383" s="8"/>
      <c r="D383" s="8"/>
      <c r="I383" s="8"/>
      <c r="J383" s="8"/>
    </row>
    <row r="384">
      <c r="A384" s="8"/>
      <c r="B384" s="8" t="str">
        <f>IF(ISBLANK(A384),"",VLOOKUP(A384,DOI_URL!$B$1:$C$74,2,FALSE()))</f>
        <v/>
      </c>
      <c r="C384" s="8"/>
      <c r="D384" s="8"/>
      <c r="I384" s="8"/>
      <c r="J384" s="8"/>
    </row>
    <row r="385">
      <c r="A385" s="8"/>
      <c r="B385" s="8" t="str">
        <f>IF(ISBLANK(A385),"",VLOOKUP(A385,DOI_URL!$B$1:$C$74,2,FALSE()))</f>
        <v/>
      </c>
      <c r="C385" s="8"/>
      <c r="D385" s="8"/>
      <c r="I385" s="8"/>
      <c r="J385" s="8"/>
    </row>
    <row r="386">
      <c r="A386" s="8"/>
      <c r="B386" s="8" t="str">
        <f>IF(ISBLANK(A386),"",VLOOKUP(A386,DOI_URL!$B$1:$C$74,2,FALSE()))</f>
        <v/>
      </c>
      <c r="C386" s="8"/>
      <c r="D386" s="8"/>
      <c r="I386" s="8"/>
      <c r="J386" s="8"/>
    </row>
    <row r="387">
      <c r="A387" s="8"/>
      <c r="B387" s="8" t="str">
        <f>IF(ISBLANK(A387),"",VLOOKUP(A387,DOI_URL!$B$1:$C$74,2,FALSE()))</f>
        <v/>
      </c>
      <c r="C387" s="8"/>
      <c r="D387" s="8"/>
      <c r="I387" s="8"/>
      <c r="J387" s="8"/>
    </row>
    <row r="388">
      <c r="A388" s="8"/>
      <c r="B388" s="8" t="str">
        <f>IF(ISBLANK(A388),"",VLOOKUP(A388,DOI_URL!$B$1:$C$74,2,FALSE()))</f>
        <v/>
      </c>
      <c r="C388" s="8"/>
      <c r="D388" s="8"/>
      <c r="I388" s="8"/>
      <c r="J388" s="8"/>
    </row>
    <row r="389">
      <c r="A389" s="8"/>
      <c r="B389" s="8" t="str">
        <f>IF(ISBLANK(A389),"",VLOOKUP(A389,DOI_URL!$B$1:$C$74,2,FALSE()))</f>
        <v/>
      </c>
      <c r="C389" s="8"/>
      <c r="D389" s="8"/>
      <c r="I389" s="8"/>
      <c r="J389" s="8"/>
    </row>
    <row r="390">
      <c r="A390" s="8"/>
      <c r="B390" s="8" t="str">
        <f>IF(ISBLANK(A390),"",VLOOKUP(A390,DOI_URL!$B$1:$C$74,2,FALSE()))</f>
        <v/>
      </c>
      <c r="C390" s="8"/>
      <c r="D390" s="8"/>
      <c r="I390" s="8"/>
      <c r="J390" s="8"/>
    </row>
    <row r="391">
      <c r="A391" s="8"/>
      <c r="B391" s="8" t="str">
        <f>IF(ISBLANK(A391),"",VLOOKUP(A391,DOI_URL!$B$1:$C$74,2,FALSE()))</f>
        <v/>
      </c>
      <c r="C391" s="8"/>
      <c r="D391" s="8"/>
      <c r="I391" s="8"/>
      <c r="J391" s="8"/>
    </row>
    <row r="392">
      <c r="A392" s="8"/>
      <c r="B392" s="8" t="str">
        <f>IF(ISBLANK(A392),"",VLOOKUP(A392,DOI_URL!$B$1:$C$74,2,FALSE()))</f>
        <v/>
      </c>
      <c r="C392" s="8"/>
      <c r="D392" s="8"/>
      <c r="I392" s="8"/>
      <c r="J392" s="8"/>
    </row>
    <row r="393">
      <c r="A393" s="8"/>
      <c r="B393" s="8" t="str">
        <f>IF(ISBLANK(A393),"",VLOOKUP(A393,DOI_URL!$B$1:$C$74,2,FALSE()))</f>
        <v/>
      </c>
      <c r="C393" s="8"/>
      <c r="D393" s="8"/>
      <c r="I393" s="8"/>
      <c r="J393" s="8"/>
    </row>
    <row r="394">
      <c r="A394" s="8"/>
      <c r="B394" s="8" t="str">
        <f>IF(ISBLANK(A394),"",VLOOKUP(A394,DOI_URL!$B$1:$C$74,2,FALSE()))</f>
        <v/>
      </c>
      <c r="C394" s="8"/>
      <c r="D394" s="8"/>
      <c r="I394" s="8"/>
      <c r="J394" s="8"/>
    </row>
    <row r="395">
      <c r="A395" s="8"/>
      <c r="B395" s="8" t="str">
        <f>IF(ISBLANK(A395),"",VLOOKUP(A395,DOI_URL!$B$1:$C$74,2,FALSE()))</f>
        <v/>
      </c>
      <c r="C395" s="8"/>
      <c r="D395" s="8"/>
      <c r="I395" s="8"/>
      <c r="J395" s="8"/>
    </row>
    <row r="396">
      <c r="A396" s="8"/>
      <c r="B396" s="8" t="str">
        <f>IF(ISBLANK(A396),"",VLOOKUP(A396,DOI_URL!$B$1:$C$74,2,FALSE()))</f>
        <v/>
      </c>
      <c r="C396" s="8"/>
      <c r="D396" s="8"/>
      <c r="I396" s="8"/>
      <c r="J396" s="8"/>
    </row>
    <row r="397">
      <c r="A397" s="8"/>
      <c r="B397" s="8" t="str">
        <f>IF(ISBLANK(A397),"",VLOOKUP(A397,DOI_URL!$B$1:$C$74,2,FALSE()))</f>
        <v/>
      </c>
      <c r="C397" s="8"/>
      <c r="D397" s="8"/>
      <c r="I397" s="8"/>
      <c r="J397" s="8"/>
    </row>
    <row r="398">
      <c r="A398" s="8"/>
      <c r="B398" s="8" t="str">
        <f>IF(ISBLANK(A398),"",VLOOKUP(A398,DOI_URL!$B$1:$C$74,2,FALSE()))</f>
        <v/>
      </c>
      <c r="C398" s="8"/>
      <c r="D398" s="8"/>
      <c r="I398" s="8"/>
      <c r="J398" s="8"/>
    </row>
    <row r="399">
      <c r="A399" s="8"/>
      <c r="B399" s="8" t="str">
        <f>IF(ISBLANK(A399),"",VLOOKUP(A399,DOI_URL!$B$1:$C$74,2,FALSE()))</f>
        <v/>
      </c>
      <c r="C399" s="8"/>
      <c r="D399" s="8"/>
      <c r="I399" s="8"/>
      <c r="J399" s="8"/>
    </row>
    <row r="400">
      <c r="A400" s="8"/>
      <c r="B400" s="8" t="str">
        <f>IF(ISBLANK(A400),"",VLOOKUP(A400,DOI_URL!$B$1:$C$74,2,FALSE()))</f>
        <v/>
      </c>
      <c r="C400" s="8"/>
      <c r="D400" s="8"/>
      <c r="I400" s="8"/>
      <c r="J400" s="8"/>
    </row>
    <row r="401">
      <c r="A401" s="8"/>
      <c r="B401" s="8" t="str">
        <f>IF(ISBLANK(A401),"",VLOOKUP(A401,DOI_URL!$B$1:$C$74,2,FALSE()))</f>
        <v/>
      </c>
      <c r="C401" s="8"/>
      <c r="D401" s="8"/>
      <c r="I401" s="8"/>
      <c r="J401" s="8"/>
    </row>
    <row r="402">
      <c r="A402" s="8"/>
      <c r="B402" s="8" t="str">
        <f>IF(ISBLANK(A402),"",VLOOKUP(A402,DOI_URL!$B$1:$C$74,2,FALSE()))</f>
        <v/>
      </c>
      <c r="C402" s="8"/>
      <c r="D402" s="8"/>
      <c r="I402" s="8"/>
      <c r="J402" s="8"/>
    </row>
    <row r="403">
      <c r="A403" s="8"/>
      <c r="B403" s="8" t="str">
        <f>IF(ISBLANK(A403),"",VLOOKUP(A403,DOI_URL!$B$1:$C$74,2,FALSE()))</f>
        <v/>
      </c>
      <c r="C403" s="8"/>
      <c r="D403" s="8"/>
      <c r="I403" s="8"/>
      <c r="J403" s="8"/>
    </row>
    <row r="404">
      <c r="A404" s="8"/>
      <c r="B404" s="8" t="str">
        <f>IF(ISBLANK(A404),"",VLOOKUP(A404,DOI_URL!$B$1:$C$74,2,FALSE()))</f>
        <v/>
      </c>
      <c r="C404" s="8"/>
      <c r="D404" s="8"/>
      <c r="I404" s="8"/>
      <c r="J404" s="8"/>
    </row>
    <row r="405">
      <c r="A405" s="8"/>
      <c r="B405" s="8" t="str">
        <f>IF(ISBLANK(A405),"",VLOOKUP(A405,DOI_URL!$B$1:$C$74,2,FALSE()))</f>
        <v/>
      </c>
      <c r="C405" s="8"/>
      <c r="D405" s="8"/>
      <c r="I405" s="8"/>
      <c r="J405" s="8"/>
    </row>
    <row r="406">
      <c r="A406" s="8"/>
      <c r="B406" s="8" t="str">
        <f>IF(ISBLANK(A406),"",VLOOKUP(A406,DOI_URL!$B$1:$C$74,2,FALSE()))</f>
        <v/>
      </c>
      <c r="C406" s="8"/>
      <c r="D406" s="8"/>
      <c r="I406" s="8"/>
      <c r="J406" s="8"/>
    </row>
    <row r="407">
      <c r="A407" s="8"/>
      <c r="B407" s="8" t="str">
        <f>IF(ISBLANK(A407),"",VLOOKUP(A407,DOI_URL!$B$1:$C$74,2,FALSE()))</f>
        <v/>
      </c>
      <c r="C407" s="8"/>
      <c r="D407" s="8"/>
      <c r="I407" s="8"/>
      <c r="J407" s="8"/>
    </row>
    <row r="408">
      <c r="A408" s="8"/>
      <c r="B408" s="8" t="str">
        <f>IF(ISBLANK(A408),"",VLOOKUP(A408,DOI_URL!$B$1:$C$74,2,FALSE()))</f>
        <v/>
      </c>
      <c r="C408" s="8"/>
      <c r="D408" s="8"/>
      <c r="I408" s="8"/>
      <c r="J408" s="8"/>
    </row>
    <row r="409">
      <c r="A409" s="8"/>
      <c r="B409" s="8" t="str">
        <f>IF(ISBLANK(A409),"",VLOOKUP(A409,DOI_URL!$B$1:$C$74,2,FALSE()))</f>
        <v/>
      </c>
      <c r="C409" s="8"/>
      <c r="D409" s="8"/>
      <c r="I409" s="8"/>
      <c r="J409" s="8"/>
    </row>
    <row r="410">
      <c r="A410" s="8"/>
      <c r="B410" s="8" t="str">
        <f>IF(ISBLANK(A410),"",VLOOKUP(A410,DOI_URL!$B$1:$C$74,2,FALSE()))</f>
        <v/>
      </c>
      <c r="C410" s="8"/>
      <c r="D410" s="8"/>
      <c r="I410" s="8"/>
      <c r="J410" s="8"/>
    </row>
    <row r="411">
      <c r="A411" s="8"/>
      <c r="B411" s="8" t="str">
        <f>IF(ISBLANK(A411),"",VLOOKUP(A411,DOI_URL!$B$1:$C$74,2,FALSE()))</f>
        <v/>
      </c>
      <c r="C411" s="8"/>
      <c r="D411" s="8"/>
      <c r="I411" s="8"/>
      <c r="J411" s="8"/>
    </row>
    <row r="412">
      <c r="A412" s="8"/>
      <c r="B412" s="8" t="str">
        <f>IF(ISBLANK(A412),"",VLOOKUP(A412,DOI_URL!$B$1:$C$74,2,FALSE()))</f>
        <v/>
      </c>
      <c r="C412" s="8"/>
      <c r="D412" s="8"/>
      <c r="I412" s="8"/>
      <c r="J412" s="8"/>
    </row>
    <row r="413">
      <c r="A413" s="8"/>
      <c r="B413" s="8" t="str">
        <f>IF(ISBLANK(A413),"",VLOOKUP(A413,DOI_URL!$B$1:$C$74,2,FALSE()))</f>
        <v/>
      </c>
      <c r="C413" s="8"/>
      <c r="D413" s="8"/>
      <c r="I413" s="8"/>
      <c r="J413" s="8"/>
    </row>
    <row r="414">
      <c r="A414" s="8"/>
      <c r="B414" s="8" t="str">
        <f>IF(ISBLANK(A414),"",VLOOKUP(A414,DOI_URL!$B$1:$C$74,2,FALSE()))</f>
        <v/>
      </c>
      <c r="C414" s="8"/>
      <c r="D414" s="8"/>
      <c r="I414" s="8"/>
      <c r="J414" s="8"/>
    </row>
    <row r="415">
      <c r="A415" s="8"/>
      <c r="B415" s="8" t="str">
        <f>IF(ISBLANK(A415),"",VLOOKUP(A415,DOI_URL!$B$1:$C$74,2,FALSE()))</f>
        <v/>
      </c>
      <c r="C415" s="8"/>
      <c r="D415" s="8"/>
      <c r="I415" s="8"/>
      <c r="J415" s="8"/>
    </row>
    <row r="416">
      <c r="A416" s="8"/>
      <c r="B416" s="8" t="str">
        <f>IF(ISBLANK(A416),"",VLOOKUP(A416,DOI_URL!$B$1:$C$74,2,FALSE()))</f>
        <v/>
      </c>
      <c r="C416" s="8"/>
      <c r="D416" s="8"/>
      <c r="I416" s="8"/>
      <c r="J416" s="8"/>
    </row>
    <row r="417">
      <c r="A417" s="8"/>
      <c r="B417" s="8" t="str">
        <f>IF(ISBLANK(A417),"",VLOOKUP(A417,DOI_URL!$B$1:$C$74,2,FALSE()))</f>
        <v/>
      </c>
      <c r="C417" s="8"/>
      <c r="D417" s="8"/>
      <c r="I417" s="8"/>
      <c r="J417" s="8"/>
    </row>
    <row r="418">
      <c r="A418" s="8"/>
      <c r="B418" s="8" t="str">
        <f>IF(ISBLANK(A418),"",VLOOKUP(A418,DOI_URL!$B$1:$C$74,2,FALSE()))</f>
        <v/>
      </c>
      <c r="C418" s="8"/>
      <c r="D418" s="8"/>
      <c r="I418" s="8"/>
      <c r="J418" s="8"/>
    </row>
    <row r="419">
      <c r="A419" s="8"/>
      <c r="B419" s="8" t="str">
        <f>IF(ISBLANK(A419),"",VLOOKUP(A419,DOI_URL!$B$1:$C$74,2,FALSE()))</f>
        <v/>
      </c>
      <c r="C419" s="8"/>
      <c r="D419" s="8"/>
      <c r="I419" s="8"/>
      <c r="J419" s="8"/>
    </row>
    <row r="420">
      <c r="A420" s="8"/>
      <c r="B420" s="8" t="str">
        <f>IF(ISBLANK(A420),"",VLOOKUP(A420,DOI_URL!$B$1:$C$74,2,FALSE()))</f>
        <v/>
      </c>
      <c r="C420" s="8"/>
      <c r="D420" s="8"/>
      <c r="I420" s="8"/>
      <c r="J420" s="8"/>
    </row>
    <row r="421">
      <c r="A421" s="8"/>
      <c r="B421" s="8" t="str">
        <f>IF(ISBLANK(A421),"",VLOOKUP(A421,DOI_URL!$B$1:$C$74,2,FALSE()))</f>
        <v/>
      </c>
      <c r="C421" s="8"/>
      <c r="D421" s="8"/>
      <c r="I421" s="8"/>
      <c r="J421" s="8"/>
    </row>
    <row r="422">
      <c r="A422" s="8"/>
      <c r="B422" s="8" t="str">
        <f>IF(ISBLANK(A422),"",VLOOKUP(A422,DOI_URL!$B$1:$C$74,2,FALSE()))</f>
        <v/>
      </c>
      <c r="C422" s="8"/>
      <c r="D422" s="8"/>
      <c r="I422" s="8"/>
      <c r="J422" s="8"/>
    </row>
    <row r="423">
      <c r="A423" s="8"/>
      <c r="B423" s="8" t="str">
        <f>IF(ISBLANK(A423),"",VLOOKUP(A423,DOI_URL!$B$1:$C$74,2,FALSE()))</f>
        <v/>
      </c>
      <c r="C423" s="8"/>
      <c r="D423" s="8"/>
      <c r="I423" s="8"/>
      <c r="J423" s="8"/>
    </row>
    <row r="424">
      <c r="A424" s="8"/>
      <c r="B424" s="8" t="str">
        <f>IF(ISBLANK(A424),"",VLOOKUP(A424,DOI_URL!$B$1:$C$74,2,FALSE()))</f>
        <v/>
      </c>
      <c r="C424" s="8"/>
      <c r="D424" s="8"/>
      <c r="I424" s="8"/>
      <c r="J424" s="8"/>
    </row>
    <row r="425">
      <c r="A425" s="8"/>
      <c r="B425" s="8" t="str">
        <f>IF(ISBLANK(A425),"",VLOOKUP(A425,DOI_URL!$B$1:$C$74,2,FALSE()))</f>
        <v/>
      </c>
      <c r="C425" s="8"/>
      <c r="D425" s="8"/>
      <c r="I425" s="8"/>
      <c r="J425" s="8"/>
    </row>
    <row r="426">
      <c r="A426" s="8"/>
      <c r="B426" s="8" t="str">
        <f>IF(ISBLANK(A426),"",VLOOKUP(A426,DOI_URL!$B$1:$C$74,2,FALSE()))</f>
        <v/>
      </c>
      <c r="C426" s="8"/>
      <c r="D426" s="8"/>
      <c r="I426" s="8"/>
      <c r="J426" s="8"/>
    </row>
    <row r="427">
      <c r="A427" s="8"/>
      <c r="B427" s="8" t="str">
        <f>IF(ISBLANK(A427),"",VLOOKUP(A427,DOI_URL!$B$1:$C$74,2,FALSE()))</f>
        <v/>
      </c>
      <c r="C427" s="8"/>
      <c r="D427" s="8"/>
      <c r="I427" s="8"/>
      <c r="J427" s="8"/>
    </row>
    <row r="428">
      <c r="A428" s="8"/>
      <c r="B428" s="8" t="str">
        <f>IF(ISBLANK(A428),"",VLOOKUP(A428,DOI_URL!$B$1:$C$74,2,FALSE()))</f>
        <v/>
      </c>
      <c r="C428" s="8"/>
      <c r="D428" s="8"/>
      <c r="I428" s="8"/>
      <c r="J428" s="8"/>
    </row>
    <row r="429">
      <c r="A429" s="8"/>
      <c r="B429" s="8" t="str">
        <f>IF(ISBLANK(A429),"",VLOOKUP(A429,DOI_URL!$B$1:$C$74,2,FALSE()))</f>
        <v/>
      </c>
      <c r="C429" s="8"/>
      <c r="D429" s="8"/>
      <c r="I429" s="8"/>
      <c r="J429" s="8"/>
    </row>
    <row r="430">
      <c r="A430" s="8"/>
      <c r="B430" s="8" t="str">
        <f>IF(ISBLANK(A430),"",VLOOKUP(A430,DOI_URL!$B$1:$C$74,2,FALSE()))</f>
        <v/>
      </c>
      <c r="C430" s="8"/>
      <c r="D430" s="8"/>
      <c r="I430" s="8"/>
      <c r="J430" s="8"/>
    </row>
    <row r="431">
      <c r="A431" s="8"/>
      <c r="B431" s="8" t="str">
        <f>IF(ISBLANK(A431),"",VLOOKUP(A431,DOI_URL!$B$1:$C$74,2,FALSE()))</f>
        <v/>
      </c>
      <c r="C431" s="8"/>
      <c r="D431" s="8"/>
      <c r="I431" s="8"/>
      <c r="J431" s="8"/>
    </row>
    <row r="432">
      <c r="A432" s="8"/>
      <c r="B432" s="8" t="str">
        <f>IF(ISBLANK(A432),"",VLOOKUP(A432,DOI_URL!$B$1:$C$74,2,FALSE()))</f>
        <v/>
      </c>
      <c r="C432" s="8"/>
      <c r="D432" s="8"/>
      <c r="I432" s="8"/>
      <c r="J432" s="8"/>
    </row>
    <row r="433">
      <c r="A433" s="8"/>
      <c r="B433" s="8" t="str">
        <f>IF(ISBLANK(A433),"",VLOOKUP(A433,DOI_URL!$B$1:$C$74,2,FALSE()))</f>
        <v/>
      </c>
      <c r="C433" s="8"/>
      <c r="D433" s="8"/>
      <c r="I433" s="8"/>
      <c r="J433" s="8"/>
    </row>
    <row r="434">
      <c r="A434" s="8"/>
      <c r="B434" s="8" t="str">
        <f>IF(ISBLANK(A434),"",VLOOKUP(A434,DOI_URL!$B$1:$C$74,2,FALSE()))</f>
        <v/>
      </c>
      <c r="C434" s="8"/>
      <c r="D434" s="8"/>
      <c r="I434" s="8"/>
      <c r="J434" s="8"/>
    </row>
    <row r="435">
      <c r="A435" s="8"/>
      <c r="B435" s="8" t="str">
        <f>IF(ISBLANK(A435),"",VLOOKUP(A435,DOI_URL!$B$1:$C$74,2,FALSE()))</f>
        <v/>
      </c>
      <c r="C435" s="8"/>
      <c r="D435" s="8"/>
      <c r="I435" s="8"/>
      <c r="J435" s="8"/>
    </row>
    <row r="436">
      <c r="A436" s="8"/>
      <c r="B436" s="8" t="str">
        <f>IF(ISBLANK(A436),"",VLOOKUP(A436,DOI_URL!$B$1:$C$74,2,FALSE()))</f>
        <v/>
      </c>
      <c r="C436" s="8"/>
      <c r="D436" s="8"/>
      <c r="I436" s="8"/>
      <c r="J436" s="8"/>
    </row>
    <row r="437">
      <c r="A437" s="8"/>
      <c r="B437" s="8" t="str">
        <f>IF(ISBLANK(A437),"",VLOOKUP(A437,DOI_URL!$B$1:$C$74,2,FALSE()))</f>
        <v/>
      </c>
      <c r="C437" s="8"/>
      <c r="D437" s="8"/>
      <c r="I437" s="8"/>
      <c r="J437" s="8"/>
    </row>
    <row r="438">
      <c r="A438" s="8"/>
      <c r="B438" s="8" t="str">
        <f>IF(ISBLANK(A438),"",VLOOKUP(A438,DOI_URL!$B$1:$C$74,2,FALSE()))</f>
        <v/>
      </c>
      <c r="C438" s="8"/>
      <c r="D438" s="8"/>
      <c r="I438" s="8"/>
      <c r="J438" s="8"/>
    </row>
    <row r="439">
      <c r="A439" s="8"/>
      <c r="B439" s="8" t="str">
        <f>IF(ISBLANK(A439),"",VLOOKUP(A439,DOI_URL!$B$1:$C$74,2,FALSE()))</f>
        <v/>
      </c>
      <c r="C439" s="8"/>
      <c r="D439" s="8"/>
      <c r="I439" s="8"/>
      <c r="J439" s="8"/>
    </row>
    <row r="440">
      <c r="A440" s="8"/>
      <c r="B440" s="8" t="str">
        <f>IF(ISBLANK(A440),"",VLOOKUP(A440,DOI_URL!$B$1:$C$74,2,FALSE()))</f>
        <v/>
      </c>
      <c r="C440" s="8"/>
      <c r="D440" s="8"/>
      <c r="I440" s="8"/>
      <c r="J440" s="8"/>
    </row>
    <row r="441">
      <c r="A441" s="8"/>
      <c r="B441" s="8" t="str">
        <f>IF(ISBLANK(A441),"",VLOOKUP(A441,DOI_URL!$B$1:$C$74,2,FALSE()))</f>
        <v/>
      </c>
      <c r="C441" s="8"/>
      <c r="D441" s="8"/>
      <c r="I441" s="8"/>
      <c r="J441" s="8"/>
    </row>
    <row r="442">
      <c r="A442" s="8"/>
      <c r="B442" s="8" t="str">
        <f>IF(ISBLANK(A442),"",VLOOKUP(A442,DOI_URL!$B$1:$C$74,2,FALSE()))</f>
        <v/>
      </c>
      <c r="C442" s="8"/>
      <c r="D442" s="8"/>
      <c r="I442" s="8"/>
      <c r="J442" s="8"/>
    </row>
    <row r="443">
      <c r="A443" s="8"/>
      <c r="B443" s="8" t="str">
        <f>IF(ISBLANK(A443),"",VLOOKUP(A443,DOI_URL!$B$1:$C$74,2,FALSE()))</f>
        <v/>
      </c>
      <c r="C443" s="8"/>
      <c r="D443" s="8"/>
      <c r="I443" s="8"/>
      <c r="J443" s="8"/>
    </row>
    <row r="444">
      <c r="A444" s="8"/>
      <c r="B444" s="8" t="str">
        <f>IF(ISBLANK(A444),"",VLOOKUP(A444,DOI_URL!$B$1:$C$74,2,FALSE()))</f>
        <v/>
      </c>
      <c r="C444" s="8"/>
      <c r="D444" s="8"/>
      <c r="I444" s="8"/>
      <c r="J444" s="8"/>
    </row>
    <row r="445">
      <c r="A445" s="8"/>
      <c r="B445" s="8" t="str">
        <f>IF(ISBLANK(A445),"",VLOOKUP(A445,DOI_URL!$B$1:$C$74,2,FALSE()))</f>
        <v/>
      </c>
      <c r="C445" s="8"/>
      <c r="D445" s="8"/>
      <c r="I445" s="8"/>
      <c r="J445" s="8"/>
    </row>
    <row r="446">
      <c r="A446" s="8"/>
      <c r="B446" s="8" t="str">
        <f>IF(ISBLANK(A446),"",VLOOKUP(A446,DOI_URL!$B$1:$C$74,2,FALSE()))</f>
        <v/>
      </c>
      <c r="C446" s="8"/>
      <c r="D446" s="8"/>
      <c r="I446" s="8"/>
      <c r="J446" s="8"/>
    </row>
    <row r="447">
      <c r="A447" s="8"/>
      <c r="B447" s="8" t="str">
        <f>IF(ISBLANK(A447),"",VLOOKUP(A447,DOI_URL!$B$1:$C$74,2,FALSE()))</f>
        <v/>
      </c>
      <c r="C447" s="8"/>
      <c r="D447" s="8"/>
      <c r="I447" s="8"/>
      <c r="J447" s="8"/>
    </row>
    <row r="448">
      <c r="A448" s="8"/>
      <c r="B448" s="8" t="str">
        <f>IF(ISBLANK(A448),"",VLOOKUP(A448,DOI_URL!$B$1:$C$74,2,FALSE()))</f>
        <v/>
      </c>
      <c r="C448" s="8"/>
      <c r="D448" s="8"/>
      <c r="I448" s="8"/>
      <c r="J448" s="8"/>
    </row>
    <row r="449">
      <c r="A449" s="8"/>
      <c r="B449" s="8" t="str">
        <f>IF(ISBLANK(A449),"",VLOOKUP(A449,DOI_URL!$B$1:$C$74,2,FALSE()))</f>
        <v/>
      </c>
      <c r="C449" s="8"/>
      <c r="D449" s="8"/>
      <c r="I449" s="8"/>
      <c r="J449" s="8"/>
    </row>
    <row r="450">
      <c r="A450" s="8"/>
      <c r="B450" s="8" t="str">
        <f>IF(ISBLANK(A450),"",VLOOKUP(A450,DOI_URL!$B$1:$C$74,2,FALSE()))</f>
        <v/>
      </c>
      <c r="C450" s="8"/>
      <c r="D450" s="8"/>
      <c r="I450" s="8"/>
      <c r="J450" s="8"/>
    </row>
    <row r="451">
      <c r="A451" s="8"/>
      <c r="B451" s="8" t="str">
        <f>IF(ISBLANK(A451),"",VLOOKUP(A451,DOI_URL!$B$1:$C$74,2,FALSE()))</f>
        <v/>
      </c>
      <c r="C451" s="8"/>
      <c r="D451" s="8"/>
      <c r="I451" s="8"/>
      <c r="J451" s="8"/>
    </row>
    <row r="452">
      <c r="A452" s="8"/>
      <c r="B452" s="8" t="str">
        <f>IF(ISBLANK(A452),"",VLOOKUP(A452,DOI_URL!$B$1:$C$74,2,FALSE()))</f>
        <v/>
      </c>
      <c r="C452" s="8"/>
      <c r="D452" s="8"/>
      <c r="I452" s="8"/>
      <c r="J452" s="8"/>
    </row>
    <row r="453">
      <c r="A453" s="8"/>
      <c r="B453" s="8" t="str">
        <f>IF(ISBLANK(A453),"",VLOOKUP(A453,DOI_URL!$B$1:$C$74,2,FALSE()))</f>
        <v/>
      </c>
      <c r="C453" s="8"/>
      <c r="D453" s="8"/>
      <c r="I453" s="8"/>
      <c r="J453" s="8"/>
    </row>
    <row r="454">
      <c r="A454" s="8"/>
      <c r="B454" s="8" t="str">
        <f>IF(ISBLANK(A454),"",VLOOKUP(A454,DOI_URL!$B$1:$C$74,2,FALSE()))</f>
        <v/>
      </c>
      <c r="C454" s="8"/>
      <c r="D454" s="8"/>
      <c r="I454" s="8"/>
      <c r="J454" s="8"/>
    </row>
    <row r="455">
      <c r="A455" s="8"/>
      <c r="B455" s="8" t="str">
        <f>IF(ISBLANK(A455),"",VLOOKUP(A455,DOI_URL!$B$1:$C$74,2,FALSE()))</f>
        <v/>
      </c>
      <c r="C455" s="8"/>
      <c r="D455" s="8"/>
      <c r="I455" s="8"/>
      <c r="J455" s="8"/>
    </row>
    <row r="456">
      <c r="A456" s="8"/>
      <c r="B456" s="8" t="str">
        <f>IF(ISBLANK(A456),"",VLOOKUP(A456,DOI_URL!$B$1:$C$74,2,FALSE()))</f>
        <v/>
      </c>
      <c r="C456" s="8"/>
      <c r="D456" s="8"/>
      <c r="I456" s="8"/>
      <c r="J456" s="8"/>
    </row>
    <row r="457">
      <c r="A457" s="8"/>
      <c r="B457" s="8" t="str">
        <f>IF(ISBLANK(A457),"",VLOOKUP(A457,DOI_URL!$B$1:$C$74,2,FALSE()))</f>
        <v/>
      </c>
      <c r="C457" s="8"/>
      <c r="D457" s="8"/>
      <c r="I457" s="8"/>
      <c r="J457" s="8"/>
    </row>
    <row r="458">
      <c r="A458" s="8"/>
      <c r="B458" s="8" t="str">
        <f>IF(ISBLANK(A458),"",VLOOKUP(A458,DOI_URL!$B$1:$C$74,2,FALSE()))</f>
        <v/>
      </c>
      <c r="C458" s="8"/>
      <c r="D458" s="8"/>
      <c r="I458" s="8"/>
      <c r="J458" s="8"/>
    </row>
    <row r="459">
      <c r="A459" s="8"/>
      <c r="B459" s="8" t="str">
        <f>IF(ISBLANK(A459),"",VLOOKUP(A459,DOI_URL!$B$1:$C$74,2,FALSE()))</f>
        <v/>
      </c>
      <c r="C459" s="8"/>
      <c r="D459" s="8"/>
      <c r="I459" s="8"/>
      <c r="J459" s="8"/>
    </row>
    <row r="460">
      <c r="A460" s="8"/>
      <c r="B460" s="8" t="str">
        <f>IF(ISBLANK(A460),"",VLOOKUP(A460,DOI_URL!$B$1:$C$74,2,FALSE()))</f>
        <v/>
      </c>
      <c r="C460" s="8"/>
      <c r="D460" s="8"/>
      <c r="I460" s="8"/>
      <c r="J460" s="8"/>
    </row>
    <row r="461">
      <c r="A461" s="8"/>
      <c r="B461" s="8" t="str">
        <f>IF(ISBLANK(A461),"",VLOOKUP(A461,DOI_URL!$B$1:$C$74,2,FALSE()))</f>
        <v/>
      </c>
      <c r="C461" s="8"/>
      <c r="D461" s="8"/>
      <c r="I461" s="8"/>
      <c r="J461" s="8"/>
    </row>
    <row r="462">
      <c r="A462" s="8"/>
      <c r="B462" s="8" t="str">
        <f>IF(ISBLANK(A462),"",VLOOKUP(A462,DOI_URL!$B$1:$C$74,2,FALSE()))</f>
        <v/>
      </c>
      <c r="C462" s="8"/>
      <c r="D462" s="8"/>
      <c r="I462" s="8"/>
      <c r="J462" s="8"/>
    </row>
    <row r="463">
      <c r="A463" s="8"/>
      <c r="B463" s="8" t="str">
        <f>IF(ISBLANK(A463),"",VLOOKUP(A463,DOI_URL!$B$1:$C$74,2,FALSE()))</f>
        <v/>
      </c>
      <c r="C463" s="8"/>
      <c r="D463" s="8"/>
      <c r="I463" s="8"/>
      <c r="J463" s="8"/>
    </row>
    <row r="464">
      <c r="A464" s="8"/>
      <c r="B464" s="8" t="str">
        <f>IF(ISBLANK(A464),"",VLOOKUP(A464,DOI_URL!$B$1:$C$74,2,FALSE()))</f>
        <v/>
      </c>
      <c r="C464" s="8"/>
      <c r="D464" s="8"/>
      <c r="I464" s="8"/>
      <c r="J464" s="8"/>
    </row>
    <row r="465">
      <c r="A465" s="8"/>
      <c r="B465" s="8" t="str">
        <f>IF(ISBLANK(A465),"",VLOOKUP(A465,DOI_URL!$B$1:$C$74,2,FALSE()))</f>
        <v/>
      </c>
      <c r="C465" s="8"/>
      <c r="D465" s="8"/>
      <c r="I465" s="8"/>
      <c r="J465" s="8"/>
    </row>
    <row r="466">
      <c r="A466" s="8"/>
      <c r="B466" s="8" t="str">
        <f>IF(ISBLANK(A466),"",VLOOKUP(A466,DOI_URL!$B$1:$C$74,2,FALSE()))</f>
        <v/>
      </c>
      <c r="C466" s="8"/>
      <c r="D466" s="8"/>
      <c r="I466" s="8"/>
      <c r="J466" s="8"/>
    </row>
    <row r="467">
      <c r="A467" s="8"/>
      <c r="B467" s="8" t="str">
        <f>IF(ISBLANK(A467),"",VLOOKUP(A467,DOI_URL!$B$1:$C$74,2,FALSE()))</f>
        <v/>
      </c>
      <c r="C467" s="8"/>
      <c r="D467" s="8"/>
      <c r="I467" s="8"/>
      <c r="J467" s="8"/>
    </row>
    <row r="468">
      <c r="A468" s="8"/>
      <c r="B468" s="8" t="str">
        <f>IF(ISBLANK(A468),"",VLOOKUP(A468,DOI_URL!$B$1:$C$74,2,FALSE()))</f>
        <v/>
      </c>
      <c r="C468" s="8"/>
      <c r="D468" s="8"/>
      <c r="I468" s="8"/>
      <c r="J468" s="8"/>
    </row>
    <row r="469">
      <c r="A469" s="8"/>
      <c r="B469" s="8" t="str">
        <f>IF(ISBLANK(A469),"",VLOOKUP(A469,DOI_URL!$B$1:$C$74,2,FALSE()))</f>
        <v/>
      </c>
      <c r="C469" s="8"/>
      <c r="D469" s="8"/>
      <c r="I469" s="8"/>
      <c r="J469" s="8"/>
    </row>
    <row r="470">
      <c r="A470" s="8"/>
      <c r="B470" s="8" t="str">
        <f>IF(ISBLANK(A470),"",VLOOKUP(A470,DOI_URL!$B$1:$C$74,2,FALSE()))</f>
        <v/>
      </c>
      <c r="C470" s="8"/>
      <c r="D470" s="8"/>
      <c r="I470" s="8"/>
      <c r="J470" s="8"/>
    </row>
    <row r="471">
      <c r="A471" s="8"/>
      <c r="B471" s="8" t="str">
        <f>IF(ISBLANK(A471),"",VLOOKUP(A471,DOI_URL!$B$1:$C$74,2,FALSE()))</f>
        <v/>
      </c>
      <c r="C471" s="8"/>
      <c r="D471" s="8"/>
      <c r="I471" s="8"/>
      <c r="J471" s="8"/>
    </row>
    <row r="472">
      <c r="A472" s="8"/>
      <c r="B472" s="8" t="str">
        <f>IF(ISBLANK(A472),"",VLOOKUP(A472,DOI_URL!$B$1:$C$74,2,FALSE()))</f>
        <v/>
      </c>
      <c r="C472" s="8"/>
      <c r="D472" s="8"/>
      <c r="I472" s="8"/>
      <c r="J472" s="8"/>
    </row>
    <row r="473">
      <c r="A473" s="8"/>
      <c r="B473" s="8" t="str">
        <f>IF(ISBLANK(A473),"",VLOOKUP(A473,DOI_URL!$B$1:$C$74,2,FALSE()))</f>
        <v/>
      </c>
      <c r="C473" s="8"/>
      <c r="D473" s="8"/>
      <c r="I473" s="8"/>
      <c r="J473" s="8"/>
    </row>
    <row r="474">
      <c r="A474" s="8"/>
      <c r="B474" s="8" t="str">
        <f>IF(ISBLANK(A474),"",VLOOKUP(A474,DOI_URL!$B$1:$C$74,2,FALSE()))</f>
        <v/>
      </c>
      <c r="C474" s="8"/>
      <c r="D474" s="8"/>
      <c r="I474" s="8"/>
      <c r="J474" s="8"/>
    </row>
    <row r="475">
      <c r="A475" s="8"/>
      <c r="B475" s="8" t="str">
        <f>IF(ISBLANK(A475),"",VLOOKUP(A475,DOI_URL!$B$1:$C$74,2,FALSE()))</f>
        <v/>
      </c>
      <c r="C475" s="8"/>
      <c r="D475" s="8"/>
      <c r="I475" s="8"/>
      <c r="J475" s="8"/>
    </row>
    <row r="476">
      <c r="A476" s="8"/>
      <c r="B476" s="8" t="str">
        <f>IF(ISBLANK(A476),"",VLOOKUP(A476,DOI_URL!$B$1:$C$74,2,FALSE()))</f>
        <v/>
      </c>
      <c r="C476" s="8"/>
      <c r="D476" s="8"/>
      <c r="I476" s="8"/>
      <c r="J476" s="8"/>
    </row>
    <row r="477">
      <c r="A477" s="8"/>
      <c r="B477" s="8" t="str">
        <f>IF(ISBLANK(A477),"",VLOOKUP(A477,DOI_URL!$B$1:$C$74,2,FALSE()))</f>
        <v/>
      </c>
      <c r="C477" s="8"/>
      <c r="D477" s="8"/>
      <c r="I477" s="8"/>
      <c r="J477" s="8"/>
    </row>
    <row r="478">
      <c r="A478" s="8"/>
      <c r="B478" s="8" t="str">
        <f>IF(ISBLANK(A478),"",VLOOKUP(A478,DOI_URL!$B$1:$C$74,2,FALSE()))</f>
        <v/>
      </c>
      <c r="C478" s="8"/>
      <c r="D478" s="8"/>
      <c r="I478" s="8"/>
      <c r="J478" s="8"/>
    </row>
    <row r="479">
      <c r="A479" s="8"/>
      <c r="B479" s="8" t="str">
        <f>IF(ISBLANK(A479),"",VLOOKUP(A479,DOI_URL!$B$1:$C$74,2,FALSE()))</f>
        <v/>
      </c>
      <c r="C479" s="8"/>
      <c r="D479" s="8"/>
      <c r="I479" s="8"/>
      <c r="J479" s="8"/>
    </row>
    <row r="480">
      <c r="A480" s="8"/>
      <c r="B480" s="8" t="str">
        <f>IF(ISBLANK(A480),"",VLOOKUP(A480,DOI_URL!$B$1:$C$74,2,FALSE()))</f>
        <v/>
      </c>
      <c r="C480" s="8"/>
      <c r="D480" s="8"/>
      <c r="I480" s="8"/>
      <c r="J480" s="8"/>
    </row>
    <row r="481">
      <c r="A481" s="8"/>
      <c r="B481" s="8" t="str">
        <f>IF(ISBLANK(A481),"",VLOOKUP(A481,DOI_URL!$B$1:$C$74,2,FALSE()))</f>
        <v/>
      </c>
      <c r="C481" s="8"/>
      <c r="D481" s="8"/>
      <c r="I481" s="8"/>
      <c r="J481" s="8"/>
    </row>
    <row r="482">
      <c r="A482" s="8"/>
      <c r="B482" s="8" t="str">
        <f>IF(ISBLANK(A482),"",VLOOKUP(A482,DOI_URL!$B$1:$C$74,2,FALSE()))</f>
        <v/>
      </c>
      <c r="C482" s="8"/>
      <c r="D482" s="8"/>
      <c r="I482" s="8"/>
      <c r="J482" s="8"/>
    </row>
    <row r="483">
      <c r="A483" s="8"/>
      <c r="B483" s="8" t="str">
        <f>IF(ISBLANK(A483),"",VLOOKUP(A483,DOI_URL!$B$1:$C$74,2,FALSE()))</f>
        <v/>
      </c>
      <c r="C483" s="8"/>
      <c r="D483" s="8"/>
      <c r="I483" s="8"/>
      <c r="J483" s="8"/>
    </row>
    <row r="484">
      <c r="A484" s="8"/>
      <c r="B484" s="8" t="str">
        <f>IF(ISBLANK(A484),"",VLOOKUP(A484,DOI_URL!$B$1:$C$74,2,FALSE()))</f>
        <v/>
      </c>
      <c r="C484" s="8"/>
      <c r="D484" s="8"/>
      <c r="I484" s="8"/>
      <c r="J484" s="8"/>
    </row>
    <row r="485">
      <c r="A485" s="8"/>
      <c r="B485" s="8" t="str">
        <f>IF(ISBLANK(A485),"",VLOOKUP(A485,DOI_URL!$B$1:$C$74,2,FALSE()))</f>
        <v/>
      </c>
      <c r="C485" s="8"/>
      <c r="D485" s="8"/>
      <c r="I485" s="8"/>
      <c r="J485" s="8"/>
    </row>
    <row r="486">
      <c r="A486" s="8"/>
      <c r="B486" s="8" t="str">
        <f>IF(ISBLANK(A486),"",VLOOKUP(A486,DOI_URL!$B$1:$C$74,2,FALSE()))</f>
        <v/>
      </c>
      <c r="C486" s="8"/>
      <c r="D486" s="8"/>
      <c r="I486" s="8"/>
      <c r="J486" s="8"/>
    </row>
    <row r="487">
      <c r="A487" s="8"/>
      <c r="B487" s="8" t="str">
        <f>IF(ISBLANK(A487),"",VLOOKUP(A487,DOI_URL!$B$1:$C$74,2,FALSE()))</f>
        <v/>
      </c>
      <c r="C487" s="8"/>
      <c r="D487" s="8"/>
      <c r="I487" s="8"/>
      <c r="J487" s="8"/>
    </row>
    <row r="488">
      <c r="A488" s="8"/>
      <c r="B488" s="8" t="str">
        <f>IF(ISBLANK(A488),"",VLOOKUP(A488,DOI_URL!$B$1:$C$74,2,FALSE()))</f>
        <v/>
      </c>
      <c r="C488" s="8"/>
      <c r="D488" s="8"/>
      <c r="I488" s="8"/>
      <c r="J488" s="8"/>
    </row>
    <row r="489">
      <c r="A489" s="8"/>
      <c r="B489" s="8" t="str">
        <f>IF(ISBLANK(A489),"",VLOOKUP(A489,DOI_URL!$B$1:$C$74,2,FALSE()))</f>
        <v/>
      </c>
      <c r="C489" s="8"/>
      <c r="D489" s="8"/>
      <c r="I489" s="8"/>
      <c r="J489" s="8"/>
    </row>
    <row r="490">
      <c r="A490" s="8"/>
      <c r="B490" s="8" t="str">
        <f>IF(ISBLANK(A490),"",VLOOKUP(A490,DOI_URL!$B$1:$C$74,2,FALSE()))</f>
        <v/>
      </c>
      <c r="C490" s="8"/>
      <c r="D490" s="8"/>
      <c r="I490" s="8"/>
      <c r="J490" s="8"/>
    </row>
    <row r="491">
      <c r="A491" s="8"/>
      <c r="B491" s="8" t="str">
        <f>IF(ISBLANK(A491),"",VLOOKUP(A491,DOI_URL!$B$1:$C$74,2,FALSE()))</f>
        <v/>
      </c>
      <c r="C491" s="8"/>
      <c r="D491" s="8"/>
      <c r="I491" s="8"/>
      <c r="J491" s="8"/>
    </row>
    <row r="492">
      <c r="A492" s="8"/>
      <c r="B492" s="8" t="str">
        <f>IF(ISBLANK(A492),"",VLOOKUP(A492,DOI_URL!$B$1:$C$74,2,FALSE()))</f>
        <v/>
      </c>
      <c r="C492" s="8"/>
      <c r="D492" s="8"/>
      <c r="I492" s="8"/>
      <c r="J492" s="8"/>
    </row>
    <row r="493">
      <c r="A493" s="8"/>
      <c r="B493" s="8" t="str">
        <f>IF(ISBLANK(A493),"",VLOOKUP(A493,DOI_URL!$B$1:$C$74,2,FALSE()))</f>
        <v/>
      </c>
      <c r="C493" s="8"/>
      <c r="D493" s="8"/>
      <c r="I493" s="8"/>
      <c r="J493" s="8"/>
    </row>
    <row r="494">
      <c r="A494" s="8"/>
      <c r="B494" s="8" t="str">
        <f>IF(ISBLANK(A494),"",VLOOKUP(A494,DOI_URL!$B$1:$C$74,2,FALSE()))</f>
        <v/>
      </c>
      <c r="C494" s="8"/>
      <c r="D494" s="8"/>
      <c r="I494" s="8"/>
      <c r="J494" s="8"/>
    </row>
    <row r="495">
      <c r="A495" s="8"/>
      <c r="B495" s="8" t="str">
        <f>IF(ISBLANK(A495),"",VLOOKUP(A495,DOI_URL!$B$1:$C$74,2,FALSE()))</f>
        <v/>
      </c>
      <c r="C495" s="8"/>
      <c r="D495" s="8"/>
      <c r="I495" s="8"/>
      <c r="J495" s="8"/>
    </row>
    <row r="496">
      <c r="A496" s="8"/>
      <c r="B496" s="8" t="str">
        <f>IF(ISBLANK(A496),"",VLOOKUP(A496,DOI_URL!$B$1:$C$74,2,FALSE()))</f>
        <v/>
      </c>
      <c r="C496" s="8"/>
      <c r="D496" s="8"/>
      <c r="I496" s="8"/>
      <c r="J496" s="8"/>
    </row>
    <row r="497">
      <c r="A497" s="8"/>
      <c r="B497" s="8" t="str">
        <f>IF(ISBLANK(A497),"",VLOOKUP(A497,DOI_URL!$B$1:$C$74,2,FALSE()))</f>
        <v/>
      </c>
      <c r="C497" s="8"/>
      <c r="D497" s="8"/>
      <c r="I497" s="8"/>
      <c r="J497" s="8"/>
    </row>
    <row r="498">
      <c r="A498" s="8"/>
      <c r="B498" s="8" t="str">
        <f>IF(ISBLANK(A498),"",VLOOKUP(A498,DOI_URL!$B$1:$C$74,2,FALSE()))</f>
        <v/>
      </c>
      <c r="C498" s="8"/>
      <c r="D498" s="8"/>
      <c r="I498" s="8"/>
      <c r="J498" s="8"/>
    </row>
    <row r="499">
      <c r="A499" s="8"/>
      <c r="B499" s="8" t="str">
        <f>IF(ISBLANK(A499),"",VLOOKUP(A499,DOI_URL!$B$1:$C$74,2,FALSE()))</f>
        <v/>
      </c>
      <c r="C499" s="8"/>
      <c r="D499" s="8"/>
      <c r="I499" s="8"/>
      <c r="J499" s="8"/>
    </row>
    <row r="500">
      <c r="A500" s="8"/>
      <c r="B500" s="8" t="str">
        <f>IF(ISBLANK(A500),"",VLOOKUP(A500,DOI_URL!$B$1:$C$74,2,FALSE()))</f>
        <v/>
      </c>
      <c r="C500" s="8"/>
      <c r="D500" s="8"/>
      <c r="I500" s="8"/>
      <c r="J500" s="8"/>
    </row>
    <row r="501">
      <c r="A501" s="8"/>
      <c r="B501" s="8" t="str">
        <f>IF(ISBLANK(A501),"",VLOOKUP(A501,DOI_URL!$B$1:$C$74,2,FALSE()))</f>
        <v/>
      </c>
      <c r="C501" s="8"/>
      <c r="D501" s="8"/>
      <c r="I501" s="8"/>
      <c r="J501" s="8"/>
    </row>
    <row r="502">
      <c r="A502" s="8"/>
      <c r="B502" s="8" t="str">
        <f>IF(ISBLANK(A502),"",VLOOKUP(A502,DOI_URL!$B$1:$C$74,2,FALSE()))</f>
        <v/>
      </c>
      <c r="C502" s="8"/>
      <c r="D502" s="8"/>
      <c r="I502" s="8"/>
      <c r="J502" s="8"/>
    </row>
    <row r="503">
      <c r="A503" s="8"/>
      <c r="B503" s="8" t="str">
        <f>IF(ISBLANK(A503),"",VLOOKUP(A503,DOI_URL!$B$1:$C$74,2,FALSE()))</f>
        <v/>
      </c>
      <c r="C503" s="8"/>
      <c r="D503" s="8"/>
      <c r="I503" s="8"/>
      <c r="J503" s="8"/>
    </row>
    <row r="504">
      <c r="A504" s="8"/>
      <c r="B504" s="8" t="str">
        <f>IF(ISBLANK(A504),"",VLOOKUP(A504,DOI_URL!$B$1:$C$74,2,FALSE()))</f>
        <v/>
      </c>
      <c r="C504" s="8"/>
      <c r="D504" s="8"/>
      <c r="I504" s="8"/>
      <c r="J504" s="8"/>
    </row>
    <row r="505">
      <c r="A505" s="8"/>
      <c r="B505" s="8" t="str">
        <f>IF(ISBLANK(A505),"",VLOOKUP(A505,DOI_URL!$B$1:$C$74,2,FALSE()))</f>
        <v/>
      </c>
      <c r="C505" s="8"/>
      <c r="D505" s="8"/>
      <c r="I505" s="8"/>
      <c r="J505" s="8"/>
    </row>
    <row r="506">
      <c r="A506" s="8"/>
      <c r="B506" s="8" t="str">
        <f>IF(ISBLANK(A506),"",VLOOKUP(A506,DOI_URL!$B$1:$C$74,2,FALSE()))</f>
        <v/>
      </c>
      <c r="C506" s="8"/>
      <c r="D506" s="8"/>
      <c r="I506" s="8"/>
      <c r="J506" s="8"/>
    </row>
    <row r="507">
      <c r="A507" s="8"/>
      <c r="B507" s="8" t="str">
        <f>IF(ISBLANK(A507),"",VLOOKUP(A507,DOI_URL!$B$1:$C$74,2,FALSE()))</f>
        <v/>
      </c>
      <c r="C507" s="8"/>
      <c r="D507" s="8"/>
      <c r="I507" s="8"/>
      <c r="J507" s="8"/>
    </row>
    <row r="508">
      <c r="A508" s="8"/>
      <c r="B508" s="8" t="str">
        <f>IF(ISBLANK(A508),"",VLOOKUP(A508,DOI_URL!$B$1:$C$74,2,FALSE()))</f>
        <v/>
      </c>
      <c r="C508" s="8"/>
      <c r="D508" s="8"/>
      <c r="I508" s="8"/>
      <c r="J508" s="8"/>
    </row>
    <row r="509">
      <c r="A509" s="8"/>
      <c r="B509" s="8" t="str">
        <f>IF(ISBLANK(A509),"",VLOOKUP(A509,DOI_URL!$B$1:$C$74,2,FALSE()))</f>
        <v/>
      </c>
      <c r="C509" s="8"/>
      <c r="D509" s="8"/>
      <c r="I509" s="8"/>
      <c r="J509" s="8"/>
    </row>
    <row r="510">
      <c r="A510" s="8"/>
      <c r="B510" s="8" t="str">
        <f>IF(ISBLANK(A510),"",VLOOKUP(A510,DOI_URL!$B$1:$C$74,2,FALSE()))</f>
        <v/>
      </c>
      <c r="C510" s="8"/>
      <c r="D510" s="8"/>
      <c r="I510" s="8"/>
      <c r="J510" s="8"/>
    </row>
    <row r="511">
      <c r="A511" s="8"/>
      <c r="B511" s="8" t="str">
        <f>IF(ISBLANK(A511),"",VLOOKUP(A511,DOI_URL!$B$1:$C$74,2,FALSE()))</f>
        <v/>
      </c>
      <c r="C511" s="8"/>
      <c r="D511" s="8"/>
      <c r="I511" s="8"/>
      <c r="J511" s="8"/>
    </row>
    <row r="512">
      <c r="A512" s="8"/>
      <c r="B512" s="8" t="str">
        <f>IF(ISBLANK(A512),"",VLOOKUP(A512,DOI_URL!$B$1:$C$74,2,FALSE()))</f>
        <v/>
      </c>
      <c r="C512" s="8"/>
      <c r="D512" s="8"/>
      <c r="I512" s="8"/>
      <c r="J512" s="8"/>
    </row>
    <row r="513">
      <c r="A513" s="8"/>
      <c r="B513" s="8" t="str">
        <f>IF(ISBLANK(A513),"",VLOOKUP(A513,DOI_URL!$B$1:$C$74,2,FALSE()))</f>
        <v/>
      </c>
      <c r="C513" s="8"/>
      <c r="D513" s="8"/>
      <c r="I513" s="8"/>
      <c r="J513" s="8"/>
    </row>
    <row r="514">
      <c r="A514" s="8"/>
      <c r="B514" s="8" t="str">
        <f>IF(ISBLANK(A514),"",VLOOKUP(A514,DOI_URL!$B$1:$C$74,2,FALSE()))</f>
        <v/>
      </c>
      <c r="C514" s="8"/>
      <c r="D514" s="8"/>
      <c r="I514" s="8"/>
      <c r="J514" s="8"/>
    </row>
    <row r="515">
      <c r="A515" s="8"/>
      <c r="B515" s="8" t="str">
        <f>IF(ISBLANK(A515),"",VLOOKUP(A515,DOI_URL!$B$1:$C$74,2,FALSE()))</f>
        <v/>
      </c>
      <c r="C515" s="8"/>
      <c r="D515" s="8"/>
      <c r="I515" s="8"/>
      <c r="J515" s="8"/>
    </row>
    <row r="516">
      <c r="A516" s="8"/>
      <c r="B516" s="8" t="str">
        <f>IF(ISBLANK(A516),"",VLOOKUP(A516,DOI_URL!$B$1:$C$74,2,FALSE()))</f>
        <v/>
      </c>
      <c r="C516" s="8"/>
      <c r="D516" s="8"/>
      <c r="I516" s="8"/>
      <c r="J516" s="8"/>
    </row>
    <row r="517">
      <c r="A517" s="8"/>
      <c r="B517" s="8" t="str">
        <f>IF(ISBLANK(A517),"",VLOOKUP(A517,DOI_URL!$B$1:$C$74,2,FALSE()))</f>
        <v/>
      </c>
      <c r="C517" s="8"/>
      <c r="D517" s="8"/>
      <c r="I517" s="8"/>
      <c r="J517" s="8"/>
    </row>
    <row r="518">
      <c r="A518" s="8"/>
      <c r="B518" s="8" t="str">
        <f>IF(ISBLANK(A518),"",VLOOKUP(A518,DOI_URL!$B$1:$C$74,2,FALSE()))</f>
        <v/>
      </c>
      <c r="C518" s="8"/>
      <c r="D518" s="8"/>
      <c r="I518" s="8"/>
      <c r="J518" s="8"/>
    </row>
    <row r="519">
      <c r="A519" s="8"/>
      <c r="B519" s="8" t="str">
        <f>IF(ISBLANK(A519),"",VLOOKUP(A519,DOI_URL!$B$1:$C$74,2,FALSE()))</f>
        <v/>
      </c>
      <c r="C519" s="8"/>
      <c r="D519" s="8"/>
      <c r="I519" s="8"/>
      <c r="J519" s="8"/>
    </row>
    <row r="520">
      <c r="A520" s="8"/>
      <c r="B520" s="8" t="str">
        <f>IF(ISBLANK(A520),"",VLOOKUP(A520,DOI_URL!$B$1:$C$74,2,FALSE()))</f>
        <v/>
      </c>
      <c r="C520" s="8"/>
      <c r="D520" s="8"/>
      <c r="I520" s="8"/>
      <c r="J520" s="8"/>
    </row>
    <row r="521">
      <c r="A521" s="8"/>
      <c r="B521" s="8" t="str">
        <f>IF(ISBLANK(A521),"",VLOOKUP(A521,DOI_URL!$B$1:$C$74,2,FALSE()))</f>
        <v/>
      </c>
      <c r="C521" s="8"/>
      <c r="D521" s="8"/>
      <c r="I521" s="8"/>
      <c r="J521" s="8"/>
    </row>
    <row r="522">
      <c r="A522" s="8"/>
      <c r="B522" s="8" t="str">
        <f>IF(ISBLANK(A522),"",VLOOKUP(A522,DOI_URL!$B$1:$C$74,2,FALSE()))</f>
        <v/>
      </c>
      <c r="C522" s="8"/>
      <c r="D522" s="8"/>
      <c r="I522" s="8"/>
      <c r="J522" s="8"/>
    </row>
    <row r="523">
      <c r="A523" s="8"/>
      <c r="B523" s="8" t="str">
        <f>IF(ISBLANK(A523),"",VLOOKUP(A523,DOI_URL!$B$1:$C$74,2,FALSE()))</f>
        <v/>
      </c>
      <c r="C523" s="8"/>
      <c r="D523" s="8"/>
      <c r="I523" s="8"/>
      <c r="J523" s="8"/>
    </row>
    <row r="524">
      <c r="A524" s="8"/>
      <c r="B524" s="8" t="str">
        <f>IF(ISBLANK(A524),"",VLOOKUP(A524,DOI_URL!$B$1:$C$74,2,FALSE()))</f>
        <v/>
      </c>
      <c r="C524" s="8"/>
      <c r="D524" s="8"/>
      <c r="I524" s="8"/>
      <c r="J524" s="8"/>
    </row>
    <row r="525">
      <c r="A525" s="8"/>
      <c r="B525" s="8" t="str">
        <f>IF(ISBLANK(A525),"",VLOOKUP(A525,DOI_URL!$B$1:$C$74,2,FALSE()))</f>
        <v/>
      </c>
      <c r="C525" s="8"/>
      <c r="D525" s="8"/>
      <c r="I525" s="8"/>
      <c r="J525" s="8"/>
    </row>
    <row r="526">
      <c r="A526" s="8"/>
      <c r="B526" s="8" t="str">
        <f>IF(ISBLANK(A526),"",VLOOKUP(A526,DOI_URL!$B$1:$C$74,2,FALSE()))</f>
        <v/>
      </c>
      <c r="C526" s="8"/>
      <c r="D526" s="8"/>
      <c r="I526" s="8"/>
      <c r="J526" s="8"/>
    </row>
    <row r="527">
      <c r="A527" s="8"/>
      <c r="B527" s="8" t="str">
        <f>IF(ISBLANK(A527),"",VLOOKUP(A527,DOI_URL!$B$1:$C$74,2,FALSE()))</f>
        <v/>
      </c>
      <c r="C527" s="8"/>
      <c r="D527" s="8"/>
      <c r="I527" s="8"/>
      <c r="J527" s="8"/>
    </row>
    <row r="528">
      <c r="A528" s="8"/>
      <c r="B528" s="8" t="str">
        <f>IF(ISBLANK(A528),"",VLOOKUP(A528,DOI_URL!$B$1:$C$74,2,FALSE()))</f>
        <v/>
      </c>
      <c r="C528" s="8"/>
      <c r="D528" s="8"/>
      <c r="I528" s="8"/>
      <c r="J528" s="8"/>
    </row>
    <row r="529">
      <c r="A529" s="8"/>
      <c r="B529" s="8" t="str">
        <f>IF(ISBLANK(A529),"",VLOOKUP(A529,DOI_URL!$B$1:$C$74,2,FALSE()))</f>
        <v/>
      </c>
      <c r="C529" s="8"/>
      <c r="D529" s="8"/>
      <c r="I529" s="8"/>
      <c r="J529" s="8"/>
    </row>
    <row r="530">
      <c r="A530" s="8"/>
      <c r="B530" s="8" t="str">
        <f>IF(ISBLANK(A530),"",VLOOKUP(A530,DOI_URL!$B$1:$C$74,2,FALSE()))</f>
        <v/>
      </c>
      <c r="C530" s="8"/>
      <c r="D530" s="8"/>
      <c r="I530" s="8"/>
      <c r="J530" s="8"/>
    </row>
    <row r="531">
      <c r="A531" s="8"/>
      <c r="B531" s="8" t="str">
        <f>IF(ISBLANK(A531),"",VLOOKUP(A531,DOI_URL!$B$1:$C$74,2,FALSE()))</f>
        <v/>
      </c>
      <c r="C531" s="8"/>
      <c r="D531" s="8"/>
      <c r="I531" s="8"/>
      <c r="J531" s="8"/>
    </row>
    <row r="532">
      <c r="A532" s="8"/>
      <c r="B532" s="8" t="str">
        <f>IF(ISBLANK(A532),"",VLOOKUP(A532,DOI_URL!$B$1:$C$74,2,FALSE()))</f>
        <v/>
      </c>
      <c r="C532" s="8"/>
      <c r="D532" s="8"/>
      <c r="I532" s="8"/>
      <c r="J532" s="8"/>
    </row>
    <row r="533">
      <c r="A533" s="8"/>
      <c r="B533" s="8" t="str">
        <f>IF(ISBLANK(A533),"",VLOOKUP(A533,DOI_URL!$B$1:$C$74,2,FALSE()))</f>
        <v/>
      </c>
      <c r="C533" s="8"/>
      <c r="D533" s="8"/>
      <c r="I533" s="8"/>
      <c r="J533" s="8"/>
    </row>
    <row r="534">
      <c r="A534" s="8"/>
      <c r="B534" s="8" t="str">
        <f>IF(ISBLANK(A534),"",VLOOKUP(A534,DOI_URL!$B$1:$C$74,2,FALSE()))</f>
        <v/>
      </c>
      <c r="C534" s="8"/>
      <c r="D534" s="8"/>
      <c r="I534" s="8"/>
      <c r="J534" s="8"/>
    </row>
    <row r="535">
      <c r="A535" s="8"/>
      <c r="B535" s="8" t="str">
        <f>IF(ISBLANK(A535),"",VLOOKUP(A535,DOI_URL!$B$1:$C$74,2,FALSE()))</f>
        <v/>
      </c>
      <c r="C535" s="8"/>
      <c r="D535" s="8"/>
      <c r="I535" s="8"/>
      <c r="J535" s="8"/>
    </row>
    <row r="536">
      <c r="A536" s="8"/>
      <c r="B536" s="8" t="str">
        <f>IF(ISBLANK(A536),"",VLOOKUP(A536,DOI_URL!$B$1:$C$74,2,FALSE()))</f>
        <v/>
      </c>
      <c r="C536" s="8"/>
      <c r="D536" s="8"/>
      <c r="I536" s="8"/>
      <c r="J536" s="8"/>
    </row>
    <row r="537">
      <c r="A537" s="8"/>
      <c r="B537" s="8" t="str">
        <f>IF(ISBLANK(A537),"",VLOOKUP(A537,DOI_URL!$B$1:$C$74,2,FALSE()))</f>
        <v/>
      </c>
      <c r="C537" s="8"/>
      <c r="D537" s="8"/>
      <c r="I537" s="8"/>
      <c r="J537" s="8"/>
    </row>
    <row r="538">
      <c r="A538" s="8"/>
      <c r="B538" s="8" t="str">
        <f>IF(ISBLANK(A538),"",VLOOKUP(A538,DOI_URL!$B$1:$C$74,2,FALSE()))</f>
        <v/>
      </c>
      <c r="C538" s="8"/>
      <c r="D538" s="8"/>
      <c r="I538" s="8"/>
      <c r="J538" s="8"/>
    </row>
    <row r="539">
      <c r="A539" s="8"/>
      <c r="B539" s="8" t="str">
        <f>IF(ISBLANK(A539),"",VLOOKUP(A539,DOI_URL!$B$1:$C$74,2,FALSE()))</f>
        <v/>
      </c>
      <c r="C539" s="8"/>
      <c r="D539" s="8"/>
      <c r="I539" s="8"/>
      <c r="J539" s="8"/>
    </row>
    <row r="540">
      <c r="A540" s="8"/>
      <c r="B540" s="8" t="str">
        <f>IF(ISBLANK(A540),"",VLOOKUP(A540,DOI_URL!$B$1:$C$74,2,FALSE()))</f>
        <v/>
      </c>
      <c r="C540" s="8"/>
      <c r="D540" s="8"/>
      <c r="I540" s="8"/>
      <c r="J540" s="8"/>
    </row>
    <row r="541">
      <c r="A541" s="8"/>
      <c r="B541" s="8" t="str">
        <f>IF(ISBLANK(A541),"",VLOOKUP(A541,DOI_URL!$B$1:$C$74,2,FALSE()))</f>
        <v/>
      </c>
      <c r="C541" s="8"/>
      <c r="D541" s="8"/>
      <c r="I541" s="8"/>
      <c r="J541" s="8"/>
    </row>
    <row r="542">
      <c r="A542" s="8"/>
      <c r="B542" s="8" t="str">
        <f>IF(ISBLANK(A542),"",VLOOKUP(A542,DOI_URL!$B$1:$C$74,2,FALSE()))</f>
        <v/>
      </c>
      <c r="C542" s="8"/>
      <c r="D542" s="8"/>
      <c r="I542" s="8"/>
      <c r="J542" s="8"/>
    </row>
    <row r="543">
      <c r="A543" s="8"/>
      <c r="B543" s="8" t="str">
        <f>IF(ISBLANK(A543),"",VLOOKUP(A543,DOI_URL!$B$1:$C$74,2,FALSE()))</f>
        <v/>
      </c>
      <c r="C543" s="8"/>
      <c r="D543" s="8"/>
      <c r="I543" s="8"/>
      <c r="J543" s="8"/>
    </row>
    <row r="544">
      <c r="A544" s="8"/>
      <c r="B544" s="8" t="str">
        <f>IF(ISBLANK(A544),"",VLOOKUP(A544,DOI_URL!$B$1:$C$74,2,FALSE()))</f>
        <v/>
      </c>
      <c r="C544" s="8"/>
      <c r="D544" s="8"/>
      <c r="I544" s="8"/>
      <c r="J544" s="8"/>
    </row>
    <row r="545">
      <c r="A545" s="8"/>
      <c r="B545" s="8" t="str">
        <f>IF(ISBLANK(A545),"",VLOOKUP(A545,DOI_URL!$B$1:$C$74,2,FALSE()))</f>
        <v/>
      </c>
      <c r="C545" s="8"/>
      <c r="D545" s="8"/>
      <c r="I545" s="8"/>
      <c r="J545" s="8"/>
    </row>
    <row r="546">
      <c r="A546" s="8"/>
      <c r="B546" s="8" t="str">
        <f>IF(ISBLANK(A546),"",VLOOKUP(A546,DOI_URL!$B$1:$C$74,2,FALSE()))</f>
        <v/>
      </c>
      <c r="C546" s="8"/>
      <c r="D546" s="8"/>
      <c r="I546" s="8"/>
      <c r="J546" s="8"/>
    </row>
    <row r="547">
      <c r="A547" s="8"/>
      <c r="B547" s="8" t="str">
        <f>IF(ISBLANK(A547),"",VLOOKUP(A547,DOI_URL!$B$1:$C$74,2,FALSE()))</f>
        <v/>
      </c>
      <c r="C547" s="8"/>
      <c r="D547" s="8"/>
      <c r="I547" s="8"/>
      <c r="J547" s="8"/>
    </row>
    <row r="548">
      <c r="A548" s="8"/>
      <c r="B548" s="8" t="str">
        <f>IF(ISBLANK(A548),"",VLOOKUP(A548,DOI_URL!$B$1:$C$74,2,FALSE()))</f>
        <v/>
      </c>
      <c r="C548" s="8"/>
      <c r="D548" s="8"/>
      <c r="I548" s="8"/>
      <c r="J548" s="8"/>
    </row>
    <row r="549">
      <c r="A549" s="8"/>
      <c r="B549" s="8" t="str">
        <f>IF(ISBLANK(A549),"",VLOOKUP(A549,DOI_URL!$B$1:$C$74,2,FALSE()))</f>
        <v/>
      </c>
      <c r="C549" s="8"/>
      <c r="D549" s="8"/>
      <c r="I549" s="8"/>
      <c r="J549" s="8"/>
    </row>
    <row r="550">
      <c r="A550" s="8"/>
      <c r="B550" s="8" t="str">
        <f>IF(ISBLANK(A550),"",VLOOKUP(A550,DOI_URL!$B$1:$C$74,2,FALSE()))</f>
        <v/>
      </c>
      <c r="C550" s="8"/>
      <c r="D550" s="8"/>
      <c r="I550" s="8"/>
      <c r="J550" s="8"/>
    </row>
    <row r="551">
      <c r="A551" s="8"/>
      <c r="B551" s="8" t="str">
        <f>IF(ISBLANK(A551),"",VLOOKUP(A551,DOI_URL!$B$1:$C$74,2,FALSE()))</f>
        <v/>
      </c>
      <c r="C551" s="8"/>
      <c r="D551" s="8"/>
      <c r="I551" s="8"/>
      <c r="J551" s="8"/>
    </row>
    <row r="552">
      <c r="A552" s="8"/>
      <c r="B552" s="8" t="str">
        <f>IF(ISBLANK(A552),"",VLOOKUP(A552,DOI_URL!$B$1:$C$74,2,FALSE()))</f>
        <v/>
      </c>
      <c r="C552" s="8"/>
      <c r="D552" s="8"/>
      <c r="I552" s="8"/>
      <c r="J552" s="8"/>
    </row>
    <row r="553">
      <c r="A553" s="8"/>
      <c r="B553" s="8" t="str">
        <f>IF(ISBLANK(A553),"",VLOOKUP(A553,DOI_URL!$B$1:$C$74,2,FALSE()))</f>
        <v/>
      </c>
      <c r="C553" s="8"/>
      <c r="D553" s="8"/>
      <c r="I553" s="8"/>
      <c r="J553" s="8"/>
    </row>
    <row r="554">
      <c r="A554" s="8"/>
      <c r="B554" s="8" t="str">
        <f>IF(ISBLANK(A554),"",VLOOKUP(A554,DOI_URL!$B$1:$C$74,2,FALSE()))</f>
        <v/>
      </c>
      <c r="C554" s="8"/>
      <c r="D554" s="8"/>
      <c r="I554" s="8"/>
      <c r="J554" s="8"/>
    </row>
    <row r="555">
      <c r="A555" s="8"/>
      <c r="B555" s="8" t="str">
        <f>IF(ISBLANK(A555),"",VLOOKUP(A555,DOI_URL!$B$1:$C$74,2,FALSE()))</f>
        <v/>
      </c>
      <c r="C555" s="8"/>
      <c r="D555" s="8"/>
      <c r="I555" s="8"/>
      <c r="J555" s="8"/>
    </row>
    <row r="556">
      <c r="A556" s="8"/>
      <c r="B556" s="8" t="str">
        <f>IF(ISBLANK(A556),"",VLOOKUP(A556,DOI_URL!$B$1:$C$74,2,FALSE()))</f>
        <v/>
      </c>
      <c r="C556" s="8"/>
      <c r="D556" s="8"/>
      <c r="I556" s="8"/>
      <c r="J556" s="8"/>
    </row>
    <row r="557">
      <c r="A557" s="8"/>
      <c r="B557" s="8" t="str">
        <f>IF(ISBLANK(A557),"",VLOOKUP(A557,DOI_URL!$B$1:$C$74,2,FALSE()))</f>
        <v/>
      </c>
      <c r="C557" s="8"/>
      <c r="D557" s="8"/>
      <c r="I557" s="8"/>
      <c r="J557" s="8"/>
    </row>
    <row r="558">
      <c r="A558" s="8"/>
      <c r="B558" s="8" t="str">
        <f>IF(ISBLANK(A558),"",VLOOKUP(A558,DOI_URL!$B$1:$C$74,2,FALSE()))</f>
        <v/>
      </c>
      <c r="C558" s="8"/>
      <c r="D558" s="8"/>
      <c r="I558" s="8"/>
      <c r="J558" s="8"/>
    </row>
    <row r="559">
      <c r="A559" s="8"/>
      <c r="B559" s="8" t="str">
        <f>IF(ISBLANK(A559),"",VLOOKUP(A559,DOI_URL!$B$1:$C$74,2,FALSE()))</f>
        <v/>
      </c>
      <c r="C559" s="8"/>
      <c r="D559" s="8"/>
      <c r="I559" s="8"/>
      <c r="J559" s="8"/>
    </row>
    <row r="560">
      <c r="A560" s="8"/>
      <c r="B560" s="8" t="str">
        <f>IF(ISBLANK(A560),"",VLOOKUP(A560,DOI_URL!$B$1:$C$74,2,FALSE()))</f>
        <v/>
      </c>
      <c r="C560" s="8"/>
      <c r="D560" s="8"/>
      <c r="I560" s="8"/>
      <c r="J560" s="8"/>
    </row>
    <row r="561">
      <c r="A561" s="8"/>
      <c r="B561" s="8" t="str">
        <f>IF(ISBLANK(A561),"",VLOOKUP(A561,DOI_URL!$B$1:$C$74,2,FALSE()))</f>
        <v/>
      </c>
      <c r="C561" s="8"/>
      <c r="D561" s="8"/>
      <c r="I561" s="8"/>
      <c r="J561" s="8"/>
    </row>
    <row r="562">
      <c r="A562" s="8"/>
      <c r="B562" s="8" t="str">
        <f>IF(ISBLANK(A562),"",VLOOKUP(A562,DOI_URL!$B$1:$C$74,2,FALSE()))</f>
        <v/>
      </c>
      <c r="C562" s="8"/>
      <c r="D562" s="8"/>
      <c r="I562" s="8"/>
      <c r="J562" s="8"/>
    </row>
    <row r="563">
      <c r="A563" s="8"/>
      <c r="B563" s="8" t="str">
        <f>IF(ISBLANK(A563),"",VLOOKUP(A563,DOI_URL!$B$1:$C$74,2,FALSE()))</f>
        <v/>
      </c>
      <c r="C563" s="8"/>
      <c r="D563" s="8"/>
      <c r="I563" s="8"/>
      <c r="J563" s="8"/>
    </row>
    <row r="564">
      <c r="A564" s="8"/>
      <c r="B564" s="8" t="str">
        <f>IF(ISBLANK(A564),"",VLOOKUP(A564,DOI_URL!$B$1:$C$74,2,FALSE()))</f>
        <v/>
      </c>
      <c r="C564" s="8"/>
      <c r="D564" s="8"/>
      <c r="I564" s="8"/>
      <c r="J564" s="8"/>
    </row>
    <row r="565">
      <c r="A565" s="8"/>
      <c r="B565" s="8" t="str">
        <f>IF(ISBLANK(A565),"",VLOOKUP(A565,DOI_URL!$B$1:$C$74,2,FALSE()))</f>
        <v/>
      </c>
      <c r="C565" s="8"/>
      <c r="D565" s="8"/>
      <c r="I565" s="8"/>
      <c r="J565" s="8"/>
    </row>
    <row r="566">
      <c r="A566" s="8"/>
      <c r="B566" s="8" t="str">
        <f>IF(ISBLANK(A566),"",VLOOKUP(A566,DOI_URL!$B$1:$C$74,2,FALSE()))</f>
        <v/>
      </c>
      <c r="C566" s="8"/>
      <c r="D566" s="8"/>
      <c r="I566" s="8"/>
      <c r="J566" s="8"/>
    </row>
    <row r="567">
      <c r="A567" s="8"/>
      <c r="B567" s="8" t="str">
        <f>IF(ISBLANK(A567),"",VLOOKUP(A567,DOI_URL!$B$1:$C$74,2,FALSE()))</f>
        <v/>
      </c>
      <c r="C567" s="8"/>
      <c r="D567" s="8"/>
      <c r="I567" s="8"/>
      <c r="J567" s="8"/>
    </row>
    <row r="568">
      <c r="A568" s="8"/>
      <c r="B568" s="8" t="str">
        <f>IF(ISBLANK(A568),"",VLOOKUP(A568,DOI_URL!$B$1:$C$74,2,FALSE()))</f>
        <v/>
      </c>
      <c r="C568" s="8"/>
      <c r="D568" s="8"/>
      <c r="I568" s="8"/>
      <c r="J568" s="8"/>
    </row>
    <row r="569">
      <c r="A569" s="8"/>
      <c r="B569" s="8" t="str">
        <f>IF(ISBLANK(A569),"",VLOOKUP(A569,DOI_URL!$B$1:$C$74,2,FALSE()))</f>
        <v/>
      </c>
      <c r="C569" s="8"/>
      <c r="D569" s="8"/>
      <c r="I569" s="8"/>
      <c r="J569" s="8"/>
    </row>
    <row r="570">
      <c r="A570" s="8"/>
      <c r="B570" s="8" t="str">
        <f>IF(ISBLANK(A570),"",VLOOKUP(A570,DOI_URL!$B$1:$C$74,2,FALSE()))</f>
        <v/>
      </c>
      <c r="C570" s="8"/>
      <c r="D570" s="8"/>
      <c r="I570" s="8"/>
      <c r="J570" s="8"/>
    </row>
    <row r="571">
      <c r="A571" s="8"/>
      <c r="B571" s="8" t="str">
        <f>IF(ISBLANK(A571),"",VLOOKUP(A571,DOI_URL!$B$1:$C$74,2,FALSE()))</f>
        <v/>
      </c>
      <c r="C571" s="8"/>
      <c r="D571" s="8"/>
      <c r="I571" s="8"/>
      <c r="J571" s="8"/>
    </row>
    <row r="572">
      <c r="A572" s="8"/>
      <c r="B572" s="8" t="str">
        <f>IF(ISBLANK(A572),"",VLOOKUP(A572,DOI_URL!$B$1:$C$74,2,FALSE()))</f>
        <v/>
      </c>
      <c r="C572" s="8"/>
      <c r="D572" s="8"/>
      <c r="I572" s="8"/>
      <c r="J572" s="8"/>
    </row>
    <row r="573">
      <c r="A573" s="8"/>
      <c r="B573" s="8" t="str">
        <f>IF(ISBLANK(A573),"",VLOOKUP(A573,DOI_URL!$B$1:$C$74,2,FALSE()))</f>
        <v/>
      </c>
      <c r="C573" s="8"/>
      <c r="D573" s="8"/>
      <c r="I573" s="8"/>
      <c r="J573" s="8"/>
    </row>
    <row r="574">
      <c r="A574" s="8"/>
      <c r="B574" s="8" t="str">
        <f>IF(ISBLANK(A574),"",VLOOKUP(A574,DOI_URL!$B$1:$C$74,2,FALSE()))</f>
        <v/>
      </c>
      <c r="C574" s="8"/>
      <c r="D574" s="8"/>
      <c r="I574" s="8"/>
      <c r="J574" s="8"/>
    </row>
    <row r="575">
      <c r="A575" s="8"/>
      <c r="B575" s="8" t="str">
        <f>IF(ISBLANK(A575),"",VLOOKUP(A575,DOI_URL!$B$1:$C$74,2,FALSE()))</f>
        <v/>
      </c>
      <c r="C575" s="8"/>
      <c r="D575" s="8"/>
      <c r="I575" s="8"/>
      <c r="J575" s="8"/>
    </row>
    <row r="576">
      <c r="A576" s="8"/>
      <c r="B576" s="8" t="str">
        <f>IF(ISBLANK(A576),"",VLOOKUP(A576,DOI_URL!$B$1:$C$74,2,FALSE()))</f>
        <v/>
      </c>
      <c r="C576" s="8"/>
      <c r="D576" s="8"/>
      <c r="I576" s="8"/>
      <c r="J576" s="8"/>
    </row>
    <row r="577">
      <c r="A577" s="8"/>
      <c r="B577" s="8" t="str">
        <f>IF(ISBLANK(A577),"",VLOOKUP(A577,DOI_URL!$B$1:$C$74,2,FALSE()))</f>
        <v/>
      </c>
      <c r="C577" s="8"/>
      <c r="D577" s="8"/>
      <c r="I577" s="8"/>
      <c r="J577" s="8"/>
    </row>
    <row r="578">
      <c r="A578" s="8"/>
      <c r="B578" s="8" t="str">
        <f>IF(ISBLANK(A578),"",VLOOKUP(A578,DOI_URL!$B$1:$C$74,2,FALSE()))</f>
        <v/>
      </c>
      <c r="C578" s="8"/>
      <c r="D578" s="8"/>
      <c r="I578" s="8"/>
      <c r="J578" s="8"/>
    </row>
    <row r="579">
      <c r="A579" s="8"/>
      <c r="B579" s="8" t="str">
        <f>IF(ISBLANK(A579),"",VLOOKUP(A579,DOI_URL!$B$1:$C$74,2,FALSE()))</f>
        <v/>
      </c>
      <c r="C579" s="8"/>
      <c r="D579" s="8"/>
      <c r="I579" s="8"/>
      <c r="J579" s="8"/>
    </row>
    <row r="580">
      <c r="A580" s="8"/>
      <c r="B580" s="8" t="str">
        <f>IF(ISBLANK(A580),"",VLOOKUP(A580,DOI_URL!$B$1:$C$74,2,FALSE()))</f>
        <v/>
      </c>
      <c r="C580" s="8"/>
      <c r="D580" s="8"/>
      <c r="I580" s="8"/>
      <c r="J580" s="8"/>
    </row>
    <row r="581">
      <c r="A581" s="8"/>
      <c r="B581" s="8" t="str">
        <f>IF(ISBLANK(A581),"",VLOOKUP(A581,DOI_URL!$B$1:$C$74,2,FALSE()))</f>
        <v/>
      </c>
      <c r="C581" s="8"/>
      <c r="D581" s="8"/>
      <c r="I581" s="8"/>
      <c r="J581" s="8"/>
    </row>
    <row r="582">
      <c r="A582" s="8"/>
      <c r="B582" s="8" t="str">
        <f>IF(ISBLANK(A582),"",VLOOKUP(A582,DOI_URL!$B$1:$C$74,2,FALSE()))</f>
        <v/>
      </c>
      <c r="C582" s="8"/>
      <c r="D582" s="8"/>
      <c r="I582" s="8"/>
      <c r="J582" s="8"/>
    </row>
    <row r="583">
      <c r="A583" s="8"/>
      <c r="B583" s="8" t="str">
        <f>IF(ISBLANK(A583),"",VLOOKUP(A583,DOI_URL!$B$1:$C$74,2,FALSE()))</f>
        <v/>
      </c>
      <c r="C583" s="8"/>
      <c r="D583" s="8"/>
      <c r="I583" s="8"/>
      <c r="J583" s="8"/>
    </row>
    <row r="584">
      <c r="A584" s="8"/>
      <c r="B584" s="8" t="str">
        <f>IF(ISBLANK(A584),"",VLOOKUP(A584,DOI_URL!$B$1:$C$74,2,FALSE()))</f>
        <v/>
      </c>
      <c r="C584" s="8"/>
      <c r="D584" s="8"/>
      <c r="I584" s="8"/>
      <c r="J584" s="8"/>
    </row>
    <row r="585">
      <c r="A585" s="8"/>
      <c r="B585" s="8" t="str">
        <f>IF(ISBLANK(A585),"",VLOOKUP(A585,DOI_URL!$B$1:$C$74,2,FALSE()))</f>
        <v/>
      </c>
      <c r="C585" s="8"/>
      <c r="D585" s="8"/>
      <c r="I585" s="8"/>
      <c r="J585" s="8"/>
    </row>
    <row r="586">
      <c r="A586" s="8"/>
      <c r="B586" s="8" t="str">
        <f>IF(ISBLANK(A586),"",VLOOKUP(A586,DOI_URL!$B$1:$C$74,2,FALSE()))</f>
        <v/>
      </c>
      <c r="C586" s="8"/>
      <c r="D586" s="8"/>
      <c r="I586" s="8"/>
      <c r="J586" s="8"/>
    </row>
    <row r="587">
      <c r="A587" s="8"/>
      <c r="B587" s="8" t="str">
        <f>IF(ISBLANK(A587),"",VLOOKUP(A587,DOI_URL!$B$1:$C$74,2,FALSE()))</f>
        <v/>
      </c>
      <c r="C587" s="8"/>
      <c r="D587" s="8"/>
      <c r="I587" s="8"/>
      <c r="J587" s="8"/>
    </row>
    <row r="588">
      <c r="A588" s="8"/>
      <c r="B588" s="8" t="str">
        <f>IF(ISBLANK(A588),"",VLOOKUP(A588,DOI_URL!$B$1:$C$74,2,FALSE()))</f>
        <v/>
      </c>
      <c r="C588" s="8"/>
      <c r="D588" s="8"/>
      <c r="I588" s="8"/>
      <c r="J588" s="8"/>
    </row>
    <row r="589">
      <c r="A589" s="8"/>
      <c r="B589" s="8" t="str">
        <f>IF(ISBLANK(A589),"",VLOOKUP(A589,DOI_URL!$B$1:$C$74,2,FALSE()))</f>
        <v/>
      </c>
      <c r="C589" s="8"/>
      <c r="D589" s="8"/>
      <c r="I589" s="8"/>
      <c r="J589" s="8"/>
    </row>
    <row r="590">
      <c r="A590" s="8"/>
      <c r="B590" s="8" t="str">
        <f>IF(ISBLANK(A590),"",VLOOKUP(A590,DOI_URL!$B$1:$C$74,2,FALSE()))</f>
        <v/>
      </c>
      <c r="C590" s="8"/>
      <c r="D590" s="8"/>
      <c r="I590" s="8"/>
      <c r="J590" s="8"/>
    </row>
    <row r="591">
      <c r="A591" s="8"/>
      <c r="B591" s="8" t="str">
        <f>IF(ISBLANK(A591),"",VLOOKUP(A591,DOI_URL!$B$1:$C$74,2,FALSE()))</f>
        <v/>
      </c>
      <c r="C591" s="8"/>
      <c r="D591" s="8"/>
      <c r="I591" s="8"/>
      <c r="J591" s="8"/>
    </row>
    <row r="592">
      <c r="A592" s="8"/>
      <c r="B592" s="8" t="str">
        <f>IF(ISBLANK(A592),"",VLOOKUP(A592,DOI_URL!$B$1:$C$74,2,FALSE()))</f>
        <v/>
      </c>
      <c r="C592" s="8"/>
      <c r="D592" s="8"/>
      <c r="I592" s="8"/>
      <c r="J592" s="8"/>
    </row>
    <row r="593">
      <c r="A593" s="8"/>
      <c r="B593" s="8" t="str">
        <f>IF(ISBLANK(A593),"",VLOOKUP(A593,DOI_URL!$B$1:$C$74,2,FALSE()))</f>
        <v/>
      </c>
      <c r="C593" s="8"/>
      <c r="D593" s="8"/>
      <c r="I593" s="8"/>
      <c r="J593" s="8"/>
    </row>
    <row r="594">
      <c r="A594" s="8"/>
      <c r="B594" s="8" t="str">
        <f>IF(ISBLANK(A594),"",VLOOKUP(A594,DOI_URL!$B$1:$C$74,2,FALSE()))</f>
        <v/>
      </c>
      <c r="C594" s="8"/>
      <c r="D594" s="8"/>
      <c r="I594" s="8"/>
      <c r="J594" s="8"/>
    </row>
    <row r="595">
      <c r="A595" s="8"/>
      <c r="B595" s="8" t="str">
        <f>IF(ISBLANK(A595),"",VLOOKUP(A595,DOI_URL!$B$1:$C$74,2,FALSE()))</f>
        <v/>
      </c>
      <c r="C595" s="8"/>
      <c r="D595" s="8"/>
      <c r="I595" s="8"/>
      <c r="J595" s="8"/>
    </row>
    <row r="596">
      <c r="A596" s="8"/>
      <c r="B596" s="8" t="str">
        <f>IF(ISBLANK(A596),"",VLOOKUP(A596,DOI_URL!$B$1:$C$74,2,FALSE()))</f>
        <v/>
      </c>
      <c r="C596" s="8"/>
      <c r="D596" s="8"/>
      <c r="I596" s="8"/>
      <c r="J596" s="8"/>
    </row>
    <row r="597">
      <c r="A597" s="8"/>
      <c r="B597" s="8" t="str">
        <f>IF(ISBLANK(A597),"",VLOOKUP(A597,DOI_URL!$B$1:$C$74,2,FALSE()))</f>
        <v/>
      </c>
      <c r="C597" s="8"/>
      <c r="D597" s="8"/>
      <c r="I597" s="8"/>
      <c r="J597" s="8"/>
    </row>
    <row r="598">
      <c r="A598" s="8"/>
      <c r="B598" s="8" t="str">
        <f>IF(ISBLANK(A598),"",VLOOKUP(A598,DOI_URL!$B$1:$C$74,2,FALSE()))</f>
        <v/>
      </c>
      <c r="C598" s="8"/>
      <c r="D598" s="8"/>
      <c r="I598" s="8"/>
      <c r="J598" s="8"/>
    </row>
    <row r="599">
      <c r="A599" s="8"/>
      <c r="B599" s="8" t="str">
        <f>IF(ISBLANK(A599),"",VLOOKUP(A599,DOI_URL!$B$1:$C$74,2,FALSE()))</f>
        <v/>
      </c>
      <c r="C599" s="8"/>
      <c r="D599" s="8"/>
      <c r="I599" s="8"/>
      <c r="J599" s="8"/>
    </row>
    <row r="600">
      <c r="A600" s="8"/>
      <c r="B600" s="8" t="str">
        <f>IF(ISBLANK(A600),"",VLOOKUP(A600,DOI_URL!$B$1:$C$74,2,FALSE()))</f>
        <v/>
      </c>
      <c r="C600" s="8"/>
      <c r="D600" s="8"/>
      <c r="I600" s="8"/>
      <c r="J600" s="8"/>
    </row>
    <row r="601">
      <c r="A601" s="8"/>
      <c r="B601" s="8" t="str">
        <f>IF(ISBLANK(A601),"",VLOOKUP(A601,DOI_URL!$B$1:$C$74,2,FALSE()))</f>
        <v/>
      </c>
      <c r="C601" s="8"/>
      <c r="D601" s="8"/>
      <c r="I601" s="8"/>
      <c r="J601" s="8"/>
    </row>
    <row r="602">
      <c r="A602" s="8"/>
      <c r="B602" s="8" t="str">
        <f>IF(ISBLANK(A602),"",VLOOKUP(A602,DOI_URL!$B$1:$C$74,2,FALSE()))</f>
        <v/>
      </c>
      <c r="C602" s="8"/>
      <c r="D602" s="8"/>
      <c r="I602" s="8"/>
      <c r="J602" s="8"/>
    </row>
    <row r="603">
      <c r="A603" s="8"/>
      <c r="B603" s="8" t="str">
        <f>IF(ISBLANK(A603),"",VLOOKUP(A603,DOI_URL!$B$1:$C$74,2,FALSE()))</f>
        <v/>
      </c>
      <c r="C603" s="8"/>
      <c r="D603" s="8"/>
      <c r="I603" s="8"/>
      <c r="J603" s="8"/>
    </row>
    <row r="604">
      <c r="A604" s="8"/>
      <c r="B604" s="8" t="str">
        <f>IF(ISBLANK(A604),"",VLOOKUP(A604,DOI_URL!$B$1:$C$74,2,FALSE()))</f>
        <v/>
      </c>
      <c r="C604" s="8"/>
      <c r="D604" s="8"/>
      <c r="I604" s="8"/>
      <c r="J604" s="8"/>
    </row>
    <row r="605">
      <c r="A605" s="8"/>
      <c r="B605" s="8" t="str">
        <f>IF(ISBLANK(A605),"",VLOOKUP(A605,DOI_URL!$B$1:$C$74,2,FALSE()))</f>
        <v/>
      </c>
      <c r="C605" s="8"/>
      <c r="D605" s="8"/>
      <c r="I605" s="8"/>
      <c r="J605" s="8"/>
    </row>
    <row r="606">
      <c r="A606" s="8"/>
      <c r="B606" s="8" t="str">
        <f>IF(ISBLANK(A606),"",VLOOKUP(A606,DOI_URL!$B$1:$C$74,2,FALSE()))</f>
        <v/>
      </c>
      <c r="C606" s="8"/>
      <c r="D606" s="8"/>
      <c r="I606" s="8"/>
      <c r="J606" s="8"/>
    </row>
    <row r="607">
      <c r="A607" s="8"/>
      <c r="B607" s="8" t="str">
        <f>IF(ISBLANK(A607),"",VLOOKUP(A607,DOI_URL!$B$1:$C$74,2,FALSE()))</f>
        <v/>
      </c>
      <c r="C607" s="8"/>
      <c r="D607" s="8"/>
      <c r="I607" s="8"/>
      <c r="J607" s="8"/>
    </row>
    <row r="608">
      <c r="A608" s="8"/>
      <c r="B608" s="8" t="str">
        <f>IF(ISBLANK(A608),"",VLOOKUP(A608,DOI_URL!$B$1:$C$74,2,FALSE()))</f>
        <v/>
      </c>
      <c r="C608" s="8"/>
      <c r="D608" s="8"/>
      <c r="I608" s="8"/>
      <c r="J608" s="8"/>
    </row>
    <row r="609">
      <c r="A609" s="8"/>
      <c r="B609" s="8" t="str">
        <f>IF(ISBLANK(A609),"",VLOOKUP(A609,DOI_URL!$B$1:$C$74,2,FALSE()))</f>
        <v/>
      </c>
      <c r="C609" s="8"/>
      <c r="D609" s="8"/>
      <c r="I609" s="8"/>
      <c r="J609" s="8"/>
    </row>
    <row r="610">
      <c r="A610" s="8"/>
      <c r="B610" s="8" t="str">
        <f>IF(ISBLANK(A610),"",VLOOKUP(A610,DOI_URL!$B$1:$C$74,2,FALSE()))</f>
        <v/>
      </c>
      <c r="C610" s="8"/>
      <c r="D610" s="8"/>
      <c r="I610" s="8"/>
      <c r="J610" s="8"/>
    </row>
    <row r="611">
      <c r="A611" s="8"/>
      <c r="B611" s="8" t="str">
        <f>IF(ISBLANK(A611),"",VLOOKUP(A611,DOI_URL!$B$1:$C$74,2,FALSE()))</f>
        <v/>
      </c>
      <c r="C611" s="8"/>
      <c r="D611" s="8"/>
      <c r="I611" s="8"/>
      <c r="J611" s="8"/>
    </row>
    <row r="612">
      <c r="A612" s="8"/>
      <c r="B612" s="8" t="str">
        <f>IF(ISBLANK(A612),"",VLOOKUP(A612,DOI_URL!$B$1:$C$74,2,FALSE()))</f>
        <v/>
      </c>
      <c r="C612" s="8"/>
      <c r="D612" s="8"/>
      <c r="I612" s="8"/>
      <c r="J612" s="8"/>
    </row>
    <row r="613">
      <c r="A613" s="8"/>
      <c r="B613" s="8" t="str">
        <f>IF(ISBLANK(A613),"",VLOOKUP(A613,DOI_URL!$B$1:$C$74,2,FALSE()))</f>
        <v/>
      </c>
      <c r="C613" s="8"/>
      <c r="D613" s="8"/>
      <c r="I613" s="8"/>
      <c r="J613" s="8"/>
    </row>
    <row r="614">
      <c r="A614" s="8"/>
      <c r="B614" s="8" t="str">
        <f>IF(ISBLANK(A614),"",VLOOKUP(A614,DOI_URL!$B$1:$C$74,2,FALSE()))</f>
        <v/>
      </c>
      <c r="C614" s="8"/>
      <c r="D614" s="8"/>
      <c r="I614" s="8"/>
      <c r="J614" s="8"/>
    </row>
    <row r="615">
      <c r="A615" s="8"/>
      <c r="B615" s="8" t="str">
        <f>IF(ISBLANK(A615),"",VLOOKUP(A615,DOI_URL!$B$1:$C$74,2,FALSE()))</f>
        <v/>
      </c>
      <c r="C615" s="8"/>
      <c r="D615" s="8"/>
      <c r="I615" s="8"/>
      <c r="J615" s="8"/>
    </row>
    <row r="616">
      <c r="A616" s="8"/>
      <c r="B616" s="8" t="str">
        <f>IF(ISBLANK(A616),"",VLOOKUP(A616,DOI_URL!$B$1:$C$74,2,FALSE()))</f>
        <v/>
      </c>
      <c r="C616" s="8"/>
      <c r="D616" s="8"/>
      <c r="I616" s="8"/>
      <c r="J616" s="8"/>
    </row>
    <row r="617">
      <c r="A617" s="8"/>
      <c r="B617" s="8" t="str">
        <f>IF(ISBLANK(A617),"",VLOOKUP(A617,DOI_URL!$B$1:$C$74,2,FALSE()))</f>
        <v/>
      </c>
      <c r="C617" s="8"/>
      <c r="D617" s="8"/>
      <c r="I617" s="8"/>
      <c r="J617" s="8"/>
    </row>
    <row r="618">
      <c r="A618" s="8"/>
      <c r="B618" s="8" t="str">
        <f>IF(ISBLANK(A618),"",VLOOKUP(A618,DOI_URL!$B$1:$C$74,2,FALSE()))</f>
        <v/>
      </c>
      <c r="C618" s="8"/>
      <c r="D618" s="8"/>
      <c r="I618" s="8"/>
      <c r="J618" s="8"/>
    </row>
    <row r="619">
      <c r="A619" s="8"/>
      <c r="B619" s="8" t="str">
        <f>IF(ISBLANK(A619),"",VLOOKUP(A619,DOI_URL!$B$1:$C$74,2,FALSE()))</f>
        <v/>
      </c>
      <c r="C619" s="8"/>
      <c r="D619" s="8"/>
      <c r="I619" s="8"/>
      <c r="J619" s="8"/>
    </row>
    <row r="620">
      <c r="A620" s="8"/>
      <c r="B620" s="8" t="str">
        <f>IF(ISBLANK(A620),"",VLOOKUP(A620,DOI_URL!$B$1:$C$74,2,FALSE()))</f>
        <v/>
      </c>
      <c r="C620" s="8"/>
      <c r="D620" s="8"/>
      <c r="I620" s="8"/>
      <c r="J620" s="8"/>
    </row>
    <row r="621">
      <c r="A621" s="8"/>
      <c r="B621" s="8" t="str">
        <f>IF(ISBLANK(A621),"",VLOOKUP(A621,DOI_URL!$B$1:$C$74,2,FALSE()))</f>
        <v/>
      </c>
      <c r="C621" s="8"/>
      <c r="D621" s="8"/>
      <c r="I621" s="8"/>
      <c r="J621" s="8"/>
    </row>
    <row r="622">
      <c r="A622" s="8"/>
      <c r="B622" s="8" t="str">
        <f>IF(ISBLANK(A622),"",VLOOKUP(A622,DOI_URL!$B$1:$C$74,2,FALSE()))</f>
        <v/>
      </c>
      <c r="C622" s="8"/>
      <c r="D622" s="8"/>
      <c r="I622" s="8"/>
      <c r="J622" s="8"/>
    </row>
    <row r="623">
      <c r="A623" s="8"/>
      <c r="B623" s="8" t="str">
        <f>IF(ISBLANK(A623),"",VLOOKUP(A623,DOI_URL!$B$1:$C$74,2,FALSE()))</f>
        <v/>
      </c>
      <c r="C623" s="8"/>
      <c r="D623" s="8"/>
      <c r="I623" s="8"/>
      <c r="J623" s="8"/>
    </row>
    <row r="624">
      <c r="A624" s="8"/>
      <c r="B624" s="8" t="str">
        <f>IF(ISBLANK(A624),"",VLOOKUP(A624,DOI_URL!$B$1:$C$74,2,FALSE()))</f>
        <v/>
      </c>
      <c r="C624" s="8"/>
      <c r="D624" s="8"/>
      <c r="I624" s="8"/>
      <c r="J624" s="8"/>
    </row>
    <row r="625">
      <c r="A625" s="8"/>
      <c r="B625" s="8" t="str">
        <f>IF(ISBLANK(A625),"",VLOOKUP(A625,DOI_URL!$B$1:$C$74,2,FALSE()))</f>
        <v/>
      </c>
      <c r="C625" s="8"/>
      <c r="D625" s="8"/>
      <c r="I625" s="8"/>
      <c r="J625" s="8"/>
    </row>
    <row r="626">
      <c r="A626" s="8"/>
      <c r="B626" s="8" t="str">
        <f>IF(ISBLANK(A626),"",VLOOKUP(A626,DOI_URL!$B$1:$C$74,2,FALSE()))</f>
        <v/>
      </c>
      <c r="C626" s="8"/>
      <c r="D626" s="8"/>
      <c r="I626" s="8"/>
      <c r="J626" s="8"/>
    </row>
    <row r="627">
      <c r="A627" s="8"/>
      <c r="B627" s="8" t="str">
        <f>IF(ISBLANK(A627),"",VLOOKUP(A627,DOI_URL!$B$1:$C$74,2,FALSE()))</f>
        <v/>
      </c>
      <c r="C627" s="8"/>
      <c r="D627" s="8"/>
      <c r="I627" s="8"/>
      <c r="J627" s="8"/>
    </row>
    <row r="628">
      <c r="A628" s="8"/>
      <c r="B628" s="8" t="str">
        <f>IF(ISBLANK(A628),"",VLOOKUP(A628,DOI_URL!$B$1:$C$74,2,FALSE()))</f>
        <v/>
      </c>
      <c r="C628" s="8"/>
      <c r="D628" s="8"/>
      <c r="I628" s="8"/>
      <c r="J628" s="8"/>
    </row>
    <row r="629">
      <c r="A629" s="8"/>
      <c r="B629" s="8" t="str">
        <f>IF(ISBLANK(A629),"",VLOOKUP(A629,DOI_URL!$B$1:$C$74,2,FALSE()))</f>
        <v/>
      </c>
      <c r="C629" s="8"/>
      <c r="D629" s="8"/>
      <c r="I629" s="8"/>
      <c r="J629" s="8"/>
    </row>
    <row r="630">
      <c r="A630" s="8"/>
      <c r="B630" s="8" t="str">
        <f>IF(ISBLANK(A630),"",VLOOKUP(A630,DOI_URL!$B$1:$C$74,2,FALSE()))</f>
        <v/>
      </c>
      <c r="C630" s="8"/>
      <c r="D630" s="8"/>
      <c r="I630" s="8"/>
      <c r="J630" s="8"/>
    </row>
    <row r="631">
      <c r="A631" s="8"/>
      <c r="B631" s="8" t="str">
        <f>IF(ISBLANK(A631),"",VLOOKUP(A631,DOI_URL!$B$1:$C$74,2,FALSE()))</f>
        <v/>
      </c>
      <c r="C631" s="8"/>
      <c r="D631" s="8"/>
      <c r="I631" s="8"/>
      <c r="J631" s="8"/>
    </row>
    <row r="632">
      <c r="A632" s="8"/>
      <c r="B632" s="8" t="str">
        <f>IF(ISBLANK(A632),"",VLOOKUP(A632,DOI_URL!$B$1:$C$74,2,FALSE()))</f>
        <v/>
      </c>
      <c r="C632" s="8"/>
      <c r="D632" s="8"/>
      <c r="I632" s="8"/>
      <c r="J632" s="8"/>
    </row>
    <row r="633">
      <c r="A633" s="8"/>
      <c r="B633" s="8" t="str">
        <f>IF(ISBLANK(A633),"",VLOOKUP(A633,DOI_URL!$B$1:$C$74,2,FALSE()))</f>
        <v/>
      </c>
      <c r="C633" s="8"/>
      <c r="D633" s="8"/>
      <c r="I633" s="8"/>
      <c r="J633" s="8"/>
    </row>
    <row r="634">
      <c r="A634" s="8"/>
      <c r="B634" s="8" t="str">
        <f>IF(ISBLANK(A634),"",VLOOKUP(A634,DOI_URL!$B$1:$C$74,2,FALSE()))</f>
        <v/>
      </c>
      <c r="C634" s="8"/>
      <c r="D634" s="8"/>
      <c r="I634" s="8"/>
      <c r="J634" s="8"/>
    </row>
    <row r="635">
      <c r="A635" s="8"/>
      <c r="B635" s="8" t="str">
        <f>IF(ISBLANK(A635),"",VLOOKUP(A635,DOI_URL!$B$1:$C$74,2,FALSE()))</f>
        <v/>
      </c>
      <c r="C635" s="8"/>
      <c r="D635" s="8"/>
      <c r="I635" s="8"/>
      <c r="J635" s="8"/>
    </row>
    <row r="636">
      <c r="A636" s="8"/>
      <c r="B636" s="8" t="str">
        <f>IF(ISBLANK(A636),"",VLOOKUP(A636,DOI_URL!$B$1:$C$74,2,FALSE()))</f>
        <v/>
      </c>
      <c r="C636" s="8"/>
      <c r="D636" s="8"/>
      <c r="I636" s="8"/>
      <c r="J636" s="8"/>
    </row>
    <row r="637">
      <c r="A637" s="8"/>
      <c r="B637" s="8" t="str">
        <f>IF(ISBLANK(A637),"",VLOOKUP(A637,DOI_URL!$B$1:$C$74,2,FALSE()))</f>
        <v/>
      </c>
      <c r="C637" s="8"/>
      <c r="D637" s="8"/>
      <c r="I637" s="8"/>
      <c r="J637" s="8"/>
    </row>
    <row r="638">
      <c r="A638" s="8"/>
      <c r="B638" s="8" t="str">
        <f>IF(ISBLANK(A638),"",VLOOKUP(A638,DOI_URL!$B$1:$C$74,2,FALSE()))</f>
        <v/>
      </c>
      <c r="C638" s="8"/>
      <c r="D638" s="8"/>
      <c r="I638" s="8"/>
      <c r="J638" s="8"/>
    </row>
    <row r="639">
      <c r="A639" s="8"/>
      <c r="B639" s="8" t="str">
        <f>IF(ISBLANK(A639),"",VLOOKUP(A639,DOI_URL!$B$1:$C$74,2,FALSE()))</f>
        <v/>
      </c>
      <c r="C639" s="8"/>
      <c r="D639" s="8"/>
      <c r="I639" s="8"/>
      <c r="J639" s="8"/>
    </row>
    <row r="640">
      <c r="A640" s="8"/>
      <c r="B640" s="8" t="str">
        <f>IF(ISBLANK(A640),"",VLOOKUP(A640,DOI_URL!$B$1:$C$74,2,FALSE()))</f>
        <v/>
      </c>
      <c r="C640" s="8"/>
      <c r="D640" s="8"/>
      <c r="I640" s="8"/>
      <c r="J640" s="8"/>
    </row>
    <row r="641">
      <c r="A641" s="8"/>
      <c r="B641" s="8" t="str">
        <f>IF(ISBLANK(A641),"",VLOOKUP(A641,DOI_URL!$B$1:$C$74,2,FALSE()))</f>
        <v/>
      </c>
      <c r="C641" s="8"/>
      <c r="D641" s="8"/>
      <c r="I641" s="8"/>
      <c r="J641" s="8"/>
    </row>
    <row r="642">
      <c r="A642" s="8"/>
      <c r="B642" s="8" t="str">
        <f>IF(ISBLANK(A642),"",VLOOKUP(A642,DOI_URL!$B$1:$C$74,2,FALSE()))</f>
        <v/>
      </c>
      <c r="C642" s="8"/>
      <c r="D642" s="8"/>
      <c r="I642" s="8"/>
      <c r="J642" s="8"/>
    </row>
    <row r="643">
      <c r="A643" s="8"/>
      <c r="B643" s="8" t="str">
        <f>IF(ISBLANK(A643),"",VLOOKUP(A643,DOI_URL!$B$1:$C$74,2,FALSE()))</f>
        <v/>
      </c>
      <c r="C643" s="8"/>
      <c r="D643" s="8"/>
      <c r="I643" s="8"/>
      <c r="J643" s="8"/>
    </row>
    <row r="644">
      <c r="A644" s="8"/>
      <c r="B644" s="8" t="str">
        <f>IF(ISBLANK(A644),"",VLOOKUP(A644,DOI_URL!$B$1:$C$74,2,FALSE()))</f>
        <v/>
      </c>
      <c r="C644" s="8"/>
      <c r="D644" s="8"/>
      <c r="I644" s="8"/>
      <c r="J644" s="8"/>
    </row>
    <row r="645">
      <c r="A645" s="8"/>
      <c r="B645" s="8" t="str">
        <f>IF(ISBLANK(A645),"",VLOOKUP(A645,DOI_URL!$B$1:$C$74,2,FALSE()))</f>
        <v/>
      </c>
      <c r="C645" s="8"/>
      <c r="D645" s="8"/>
      <c r="I645" s="8"/>
      <c r="J645" s="8"/>
    </row>
    <row r="646">
      <c r="A646" s="8"/>
      <c r="B646" s="8" t="str">
        <f>IF(ISBLANK(A646),"",VLOOKUP(A646,DOI_URL!$B$1:$C$74,2,FALSE()))</f>
        <v/>
      </c>
      <c r="C646" s="8"/>
      <c r="D646" s="8"/>
      <c r="I646" s="8"/>
      <c r="J646" s="8"/>
    </row>
    <row r="647">
      <c r="A647" s="8"/>
      <c r="B647" s="8" t="str">
        <f>IF(ISBLANK(A647),"",VLOOKUP(A647,DOI_URL!$B$1:$C$74,2,FALSE()))</f>
        <v/>
      </c>
      <c r="C647" s="8"/>
      <c r="D647" s="8"/>
      <c r="I647" s="8"/>
      <c r="J647" s="8"/>
    </row>
    <row r="648">
      <c r="A648" s="8"/>
      <c r="B648" s="8" t="str">
        <f>IF(ISBLANK(A648),"",VLOOKUP(A648,DOI_URL!$B$1:$C$74,2,FALSE()))</f>
        <v/>
      </c>
      <c r="C648" s="8"/>
      <c r="D648" s="8"/>
      <c r="I648" s="8"/>
      <c r="J648" s="8"/>
    </row>
    <row r="649">
      <c r="A649" s="8"/>
      <c r="B649" s="8" t="str">
        <f>IF(ISBLANK(A649),"",VLOOKUP(A649,DOI_URL!$B$1:$C$74,2,FALSE()))</f>
        <v/>
      </c>
      <c r="C649" s="8"/>
      <c r="D649" s="8"/>
      <c r="I649" s="8"/>
      <c r="J649" s="8"/>
    </row>
    <row r="650">
      <c r="A650" s="8"/>
      <c r="B650" s="8" t="str">
        <f>IF(ISBLANK(A650),"",VLOOKUP(A650,DOI_URL!$B$1:$C$74,2,FALSE()))</f>
        <v/>
      </c>
      <c r="C650" s="8"/>
      <c r="D650" s="8"/>
      <c r="I650" s="8"/>
      <c r="J650" s="8"/>
    </row>
    <row r="651">
      <c r="A651" s="8"/>
      <c r="B651" s="8" t="str">
        <f>IF(ISBLANK(A651),"",VLOOKUP(A651,DOI_URL!$B$1:$C$74,2,FALSE()))</f>
        <v/>
      </c>
      <c r="C651" s="8"/>
      <c r="D651" s="8"/>
      <c r="I651" s="8"/>
      <c r="J651" s="8"/>
    </row>
    <row r="652">
      <c r="A652" s="8"/>
      <c r="B652" s="8" t="str">
        <f>IF(ISBLANK(A652),"",VLOOKUP(A652,DOI_URL!$B$1:$C$74,2,FALSE()))</f>
        <v/>
      </c>
      <c r="C652" s="8"/>
      <c r="D652" s="8"/>
      <c r="I652" s="8"/>
      <c r="J652" s="8"/>
    </row>
    <row r="653">
      <c r="A653" s="8"/>
      <c r="B653" s="8" t="str">
        <f>IF(ISBLANK(A653),"",VLOOKUP(A653,DOI_URL!$B$1:$C$74,2,FALSE()))</f>
        <v/>
      </c>
      <c r="C653" s="8"/>
      <c r="D653" s="8"/>
      <c r="I653" s="8"/>
      <c r="J653" s="8"/>
    </row>
    <row r="654">
      <c r="A654" s="8"/>
      <c r="B654" s="8" t="str">
        <f>IF(ISBLANK(A654),"",VLOOKUP(A654,DOI_URL!$B$1:$C$74,2,FALSE()))</f>
        <v/>
      </c>
      <c r="C654" s="8"/>
      <c r="D654" s="8"/>
      <c r="I654" s="8"/>
      <c r="J654" s="8"/>
    </row>
    <row r="655">
      <c r="A655" s="8"/>
      <c r="B655" s="8" t="str">
        <f>IF(ISBLANK(A655),"",VLOOKUP(A655,DOI_URL!$B$1:$C$74,2,FALSE()))</f>
        <v/>
      </c>
      <c r="C655" s="8"/>
      <c r="D655" s="8"/>
      <c r="I655" s="8"/>
      <c r="J655" s="8"/>
    </row>
    <row r="656">
      <c r="A656" s="8"/>
      <c r="B656" s="8" t="str">
        <f>IF(ISBLANK(A656),"",VLOOKUP(A656,DOI_URL!$B$1:$C$74,2,FALSE()))</f>
        <v/>
      </c>
      <c r="C656" s="8"/>
      <c r="D656" s="8"/>
      <c r="I656" s="8"/>
      <c r="J656" s="8"/>
    </row>
    <row r="657">
      <c r="A657" s="8"/>
      <c r="B657" s="8" t="str">
        <f>IF(ISBLANK(A657),"",VLOOKUP(A657,DOI_URL!$B$1:$C$74,2,FALSE()))</f>
        <v/>
      </c>
      <c r="C657" s="8"/>
      <c r="D657" s="8"/>
      <c r="I657" s="8"/>
      <c r="J657" s="8"/>
    </row>
    <row r="658">
      <c r="A658" s="8"/>
      <c r="B658" s="8" t="str">
        <f>IF(ISBLANK(A658),"",VLOOKUP(A658,DOI_URL!$B$1:$C$74,2,FALSE()))</f>
        <v/>
      </c>
      <c r="C658" s="8"/>
      <c r="D658" s="8"/>
      <c r="I658" s="8"/>
      <c r="J658" s="8"/>
    </row>
    <row r="659">
      <c r="A659" s="8"/>
      <c r="B659" s="8" t="str">
        <f>IF(ISBLANK(A659),"",VLOOKUP(A659,DOI_URL!$B$1:$C$74,2,FALSE()))</f>
        <v/>
      </c>
      <c r="C659" s="8"/>
      <c r="D659" s="8"/>
      <c r="I659" s="8"/>
      <c r="J659" s="8"/>
    </row>
    <row r="660">
      <c r="A660" s="8"/>
      <c r="B660" s="8" t="str">
        <f>IF(ISBLANK(A660),"",VLOOKUP(A660,DOI_URL!$B$1:$C$74,2,FALSE()))</f>
        <v/>
      </c>
      <c r="C660" s="8"/>
      <c r="D660" s="8"/>
      <c r="I660" s="8"/>
      <c r="J660" s="8"/>
    </row>
    <row r="661">
      <c r="A661" s="8"/>
      <c r="B661" s="8" t="str">
        <f>IF(ISBLANK(A661),"",VLOOKUP(A661,DOI_URL!$B$1:$C$74,2,FALSE()))</f>
        <v/>
      </c>
      <c r="C661" s="8"/>
      <c r="D661" s="8"/>
      <c r="I661" s="8"/>
      <c r="J661" s="8"/>
    </row>
    <row r="662">
      <c r="A662" s="8"/>
      <c r="B662" s="8" t="str">
        <f>IF(ISBLANK(A662),"",VLOOKUP(A662,DOI_URL!$B$1:$C$74,2,FALSE()))</f>
        <v/>
      </c>
      <c r="C662" s="8"/>
      <c r="D662" s="8"/>
      <c r="I662" s="8"/>
      <c r="J662" s="8"/>
    </row>
    <row r="663">
      <c r="A663" s="8"/>
      <c r="B663" s="8" t="str">
        <f>IF(ISBLANK(A663),"",VLOOKUP(A663,DOI_URL!$B$1:$C$74,2,FALSE()))</f>
        <v/>
      </c>
      <c r="C663" s="8"/>
      <c r="D663" s="8"/>
      <c r="I663" s="8"/>
      <c r="J663" s="8"/>
    </row>
    <row r="664">
      <c r="A664" s="8"/>
      <c r="B664" s="8" t="str">
        <f>IF(ISBLANK(A664),"",VLOOKUP(A664,DOI_URL!$B$1:$C$74,2,FALSE()))</f>
        <v/>
      </c>
      <c r="C664" s="8"/>
      <c r="D664" s="8"/>
      <c r="I664" s="8"/>
      <c r="J664" s="8"/>
    </row>
    <row r="665">
      <c r="A665" s="8"/>
      <c r="B665" s="8" t="str">
        <f>IF(ISBLANK(A665),"",VLOOKUP(A665,DOI_URL!$B$1:$C$74,2,FALSE()))</f>
        <v/>
      </c>
      <c r="C665" s="8"/>
      <c r="D665" s="8"/>
      <c r="I665" s="8"/>
      <c r="J665" s="8"/>
    </row>
    <row r="666">
      <c r="A666" s="8"/>
      <c r="B666" s="8" t="str">
        <f>IF(ISBLANK(A666),"",VLOOKUP(A666,DOI_URL!$B$1:$C$74,2,FALSE()))</f>
        <v/>
      </c>
      <c r="C666" s="8"/>
      <c r="D666" s="8"/>
      <c r="I666" s="8"/>
      <c r="J666" s="8"/>
    </row>
    <row r="667">
      <c r="A667" s="8"/>
      <c r="B667" s="8" t="str">
        <f>IF(ISBLANK(A667),"",VLOOKUP(A667,DOI_URL!$B$1:$C$74,2,FALSE()))</f>
        <v/>
      </c>
      <c r="C667" s="8"/>
      <c r="D667" s="8"/>
      <c r="I667" s="8"/>
      <c r="J667" s="8"/>
    </row>
    <row r="668">
      <c r="A668" s="8"/>
      <c r="B668" s="8" t="str">
        <f>IF(ISBLANK(A668),"",VLOOKUP(A668,DOI_URL!$B$1:$C$74,2,FALSE()))</f>
        <v/>
      </c>
      <c r="C668" s="8"/>
      <c r="D668" s="8"/>
      <c r="I668" s="8"/>
      <c r="J668" s="8"/>
    </row>
    <row r="669">
      <c r="A669" s="8"/>
      <c r="B669" s="8" t="str">
        <f>IF(ISBLANK(A669),"",VLOOKUP(A669,DOI_URL!$B$1:$C$74,2,FALSE()))</f>
        <v/>
      </c>
      <c r="C669" s="8"/>
      <c r="D669" s="8"/>
      <c r="I669" s="8"/>
      <c r="J669" s="8"/>
    </row>
    <row r="670">
      <c r="A670" s="8"/>
      <c r="B670" s="8" t="str">
        <f>IF(ISBLANK(A670),"",VLOOKUP(A670,DOI_URL!$B$1:$C$74,2,FALSE()))</f>
        <v/>
      </c>
      <c r="C670" s="8"/>
      <c r="D670" s="8"/>
      <c r="I670" s="8"/>
      <c r="J670" s="8"/>
    </row>
    <row r="671">
      <c r="A671" s="8"/>
      <c r="B671" s="8" t="str">
        <f>IF(ISBLANK(A671),"",VLOOKUP(A671,DOI_URL!$B$1:$C$74,2,FALSE()))</f>
        <v/>
      </c>
      <c r="C671" s="8"/>
      <c r="D671" s="8"/>
      <c r="I671" s="8"/>
      <c r="J671" s="8"/>
    </row>
    <row r="672">
      <c r="A672" s="8"/>
      <c r="B672" s="8" t="str">
        <f>IF(ISBLANK(A672),"",VLOOKUP(A672,DOI_URL!$B$1:$C$74,2,FALSE()))</f>
        <v/>
      </c>
      <c r="C672" s="8"/>
      <c r="D672" s="8"/>
      <c r="I672" s="8"/>
      <c r="J672" s="8"/>
    </row>
    <row r="673">
      <c r="A673" s="8"/>
      <c r="B673" s="8" t="str">
        <f>IF(ISBLANK(A673),"",VLOOKUP(A673,DOI_URL!$B$1:$C$74,2,FALSE()))</f>
        <v/>
      </c>
      <c r="C673" s="8"/>
      <c r="D673" s="8"/>
      <c r="I673" s="8"/>
      <c r="J673" s="8"/>
    </row>
    <row r="674">
      <c r="A674" s="8"/>
      <c r="B674" s="8" t="str">
        <f>IF(ISBLANK(A674),"",VLOOKUP(A674,DOI_URL!$B$1:$C$74,2,FALSE()))</f>
        <v/>
      </c>
      <c r="C674" s="8"/>
      <c r="D674" s="8"/>
      <c r="I674" s="8"/>
      <c r="J674" s="8"/>
    </row>
    <row r="675">
      <c r="A675" s="8"/>
      <c r="B675" s="8" t="str">
        <f>IF(ISBLANK(A675),"",VLOOKUP(A675,DOI_URL!$B$1:$C$74,2,FALSE()))</f>
        <v/>
      </c>
      <c r="C675" s="8"/>
      <c r="D675" s="8"/>
      <c r="I675" s="8"/>
      <c r="J675" s="8"/>
    </row>
    <row r="676">
      <c r="A676" s="8"/>
      <c r="B676" s="8" t="str">
        <f>IF(ISBLANK(A676),"",VLOOKUP(A676,DOI_URL!$B$1:$C$74,2,FALSE()))</f>
        <v/>
      </c>
      <c r="C676" s="8"/>
      <c r="D676" s="8"/>
      <c r="I676" s="8"/>
      <c r="J676" s="8"/>
    </row>
    <row r="677">
      <c r="A677" s="8"/>
      <c r="B677" s="8" t="str">
        <f>IF(ISBLANK(A677),"",VLOOKUP(A677,DOI_URL!$B$1:$C$74,2,FALSE()))</f>
        <v/>
      </c>
      <c r="C677" s="8"/>
      <c r="D677" s="8"/>
      <c r="I677" s="8"/>
      <c r="J677" s="8"/>
    </row>
    <row r="678">
      <c r="A678" s="8"/>
      <c r="B678" s="8" t="str">
        <f>IF(ISBLANK(A678),"",VLOOKUP(A678,DOI_URL!$B$1:$C$74,2,FALSE()))</f>
        <v/>
      </c>
      <c r="C678" s="8"/>
      <c r="D678" s="8"/>
      <c r="I678" s="8"/>
      <c r="J678" s="8"/>
    </row>
    <row r="679">
      <c r="A679" s="8"/>
      <c r="B679" s="8" t="str">
        <f>IF(ISBLANK(A679),"",VLOOKUP(A679,DOI_URL!$B$1:$C$74,2,FALSE()))</f>
        <v/>
      </c>
      <c r="C679" s="8"/>
      <c r="D679" s="8"/>
      <c r="I679" s="8"/>
      <c r="J679" s="8"/>
    </row>
    <row r="680">
      <c r="A680" s="8"/>
      <c r="B680" s="8" t="str">
        <f>IF(ISBLANK(A680),"",VLOOKUP(A680,DOI_URL!$B$1:$C$74,2,FALSE()))</f>
        <v/>
      </c>
      <c r="C680" s="8"/>
      <c r="D680" s="8"/>
      <c r="I680" s="8"/>
      <c r="J680" s="8"/>
    </row>
    <row r="681">
      <c r="A681" s="8"/>
      <c r="B681" s="8" t="str">
        <f>IF(ISBLANK(A681),"",VLOOKUP(A681,DOI_URL!$B$1:$C$74,2,FALSE()))</f>
        <v/>
      </c>
      <c r="C681" s="8"/>
      <c r="D681" s="8"/>
      <c r="I681" s="8"/>
      <c r="J681" s="8"/>
    </row>
    <row r="682">
      <c r="A682" s="8"/>
      <c r="B682" s="8" t="str">
        <f>IF(ISBLANK(A682),"",VLOOKUP(A682,DOI_URL!$B$1:$C$74,2,FALSE()))</f>
        <v/>
      </c>
      <c r="C682" s="8"/>
      <c r="D682" s="8"/>
      <c r="I682" s="8"/>
      <c r="J682" s="8"/>
    </row>
    <row r="683">
      <c r="A683" s="8"/>
      <c r="B683" s="8" t="str">
        <f>IF(ISBLANK(A683),"",VLOOKUP(A683,DOI_URL!$B$1:$C$74,2,FALSE()))</f>
        <v/>
      </c>
      <c r="C683" s="8"/>
      <c r="D683" s="8"/>
      <c r="I683" s="8"/>
      <c r="J683" s="8"/>
    </row>
    <row r="684">
      <c r="A684" s="8"/>
      <c r="B684" s="8" t="str">
        <f>IF(ISBLANK(A684),"",VLOOKUP(A684,DOI_URL!$B$1:$C$74,2,FALSE()))</f>
        <v/>
      </c>
      <c r="C684" s="8"/>
      <c r="D684" s="8"/>
      <c r="I684" s="8"/>
      <c r="J684" s="8"/>
    </row>
    <row r="685">
      <c r="A685" s="8"/>
      <c r="B685" s="8" t="str">
        <f>IF(ISBLANK(A685),"",VLOOKUP(A685,DOI_URL!$B$1:$C$74,2,FALSE()))</f>
        <v/>
      </c>
      <c r="C685" s="8"/>
      <c r="D685" s="8"/>
      <c r="I685" s="8"/>
      <c r="J685" s="8"/>
    </row>
    <row r="686">
      <c r="A686" s="8"/>
      <c r="B686" s="8" t="str">
        <f>IF(ISBLANK(A686),"",VLOOKUP(A686,DOI_URL!$B$1:$C$74,2,FALSE()))</f>
        <v/>
      </c>
      <c r="C686" s="8"/>
      <c r="D686" s="8"/>
      <c r="I686" s="8"/>
      <c r="J686" s="8"/>
    </row>
    <row r="687">
      <c r="A687" s="8"/>
      <c r="B687" s="8" t="str">
        <f>IF(ISBLANK(A687),"",VLOOKUP(A687,DOI_URL!$B$1:$C$74,2,FALSE()))</f>
        <v/>
      </c>
      <c r="C687" s="8"/>
      <c r="D687" s="8"/>
      <c r="I687" s="8"/>
      <c r="J687" s="8"/>
    </row>
    <row r="688">
      <c r="A688" s="8"/>
      <c r="B688" s="8" t="str">
        <f>IF(ISBLANK(A688),"",VLOOKUP(A688,DOI_URL!$B$1:$C$74,2,FALSE()))</f>
        <v/>
      </c>
      <c r="C688" s="8"/>
      <c r="D688" s="8"/>
      <c r="I688" s="8"/>
      <c r="J688" s="8"/>
    </row>
    <row r="689">
      <c r="A689" s="8"/>
      <c r="B689" s="8" t="str">
        <f>IF(ISBLANK(A689),"",VLOOKUP(A689,DOI_URL!$B$1:$C$74,2,FALSE()))</f>
        <v/>
      </c>
      <c r="C689" s="8"/>
      <c r="D689" s="8"/>
      <c r="I689" s="8"/>
      <c r="J689" s="8"/>
    </row>
    <row r="690">
      <c r="A690" s="8"/>
      <c r="B690" s="8" t="str">
        <f>IF(ISBLANK(A690),"",VLOOKUP(A690,DOI_URL!$B$1:$C$74,2,FALSE()))</f>
        <v/>
      </c>
      <c r="C690" s="8"/>
      <c r="D690" s="8"/>
      <c r="I690" s="8"/>
      <c r="J690" s="8"/>
    </row>
    <row r="691">
      <c r="A691" s="8"/>
      <c r="B691" s="8" t="str">
        <f>IF(ISBLANK(A691),"",VLOOKUP(A691,DOI_URL!$B$1:$C$74,2,FALSE()))</f>
        <v/>
      </c>
      <c r="C691" s="8"/>
      <c r="D691" s="8"/>
      <c r="I691" s="8"/>
      <c r="J691" s="8"/>
    </row>
    <row r="692">
      <c r="A692" s="8"/>
      <c r="B692" s="8" t="str">
        <f>IF(ISBLANK(A692),"",VLOOKUP(A692,DOI_URL!$B$1:$C$74,2,FALSE()))</f>
        <v/>
      </c>
      <c r="C692" s="8"/>
      <c r="D692" s="8"/>
      <c r="I692" s="8"/>
      <c r="J692" s="8"/>
    </row>
    <row r="693">
      <c r="A693" s="8"/>
      <c r="B693" s="8" t="str">
        <f>IF(ISBLANK(A693),"",VLOOKUP(A693,DOI_URL!$B$1:$C$74,2,FALSE()))</f>
        <v/>
      </c>
      <c r="C693" s="8"/>
      <c r="D693" s="8"/>
      <c r="I693" s="8"/>
      <c r="J693" s="8"/>
    </row>
    <row r="694">
      <c r="A694" s="8"/>
      <c r="B694" s="8" t="str">
        <f>IF(ISBLANK(A694),"",VLOOKUP(A694,DOI_URL!$B$1:$C$74,2,FALSE()))</f>
        <v/>
      </c>
      <c r="C694" s="8"/>
      <c r="D694" s="8"/>
      <c r="I694" s="8"/>
      <c r="J694" s="8"/>
    </row>
    <row r="695">
      <c r="A695" s="8"/>
      <c r="B695" s="8" t="str">
        <f>IF(ISBLANK(A695),"",VLOOKUP(A695,DOI_URL!$B$1:$C$74,2,FALSE()))</f>
        <v/>
      </c>
      <c r="C695" s="8"/>
      <c r="D695" s="8"/>
      <c r="I695" s="8"/>
      <c r="J695" s="8"/>
    </row>
    <row r="696">
      <c r="A696" s="8"/>
      <c r="B696" s="8" t="str">
        <f>IF(ISBLANK(A696),"",VLOOKUP(A696,DOI_URL!$B$1:$C$74,2,FALSE()))</f>
        <v/>
      </c>
      <c r="C696" s="8"/>
      <c r="D696" s="8"/>
      <c r="I696" s="8"/>
      <c r="J696" s="8"/>
    </row>
    <row r="697">
      <c r="A697" s="8"/>
      <c r="B697" s="8" t="str">
        <f>IF(ISBLANK(A697),"",VLOOKUP(A697,DOI_URL!$B$1:$C$74,2,FALSE()))</f>
        <v/>
      </c>
      <c r="C697" s="8"/>
      <c r="D697" s="8"/>
      <c r="I697" s="8"/>
      <c r="J697" s="8"/>
    </row>
    <row r="698">
      <c r="A698" s="8"/>
      <c r="B698" s="8" t="str">
        <f>IF(ISBLANK(A698),"",VLOOKUP(A698,DOI_URL!$B$1:$C$74,2,FALSE()))</f>
        <v/>
      </c>
      <c r="C698" s="8"/>
      <c r="D698" s="8"/>
      <c r="I698" s="8"/>
      <c r="J698" s="8"/>
    </row>
    <row r="699">
      <c r="A699" s="8"/>
      <c r="B699" s="8" t="str">
        <f>IF(ISBLANK(A699),"",VLOOKUP(A699,DOI_URL!$B$1:$C$74,2,FALSE()))</f>
        <v/>
      </c>
      <c r="C699" s="8"/>
      <c r="D699" s="8"/>
      <c r="I699" s="8"/>
      <c r="J699" s="8"/>
    </row>
    <row r="700">
      <c r="A700" s="8"/>
      <c r="B700" s="8" t="str">
        <f>IF(ISBLANK(A700),"",VLOOKUP(A700,DOI_URL!$B$1:$C$74,2,FALSE()))</f>
        <v/>
      </c>
      <c r="C700" s="8"/>
      <c r="D700" s="8"/>
      <c r="I700" s="8"/>
      <c r="J700" s="8"/>
    </row>
    <row r="701">
      <c r="A701" s="8"/>
      <c r="B701" s="8" t="str">
        <f>IF(ISBLANK(A701),"",VLOOKUP(A701,DOI_URL!$B$1:$C$74,2,FALSE()))</f>
        <v/>
      </c>
      <c r="C701" s="8"/>
      <c r="D701" s="8"/>
      <c r="I701" s="8"/>
      <c r="J701" s="8"/>
    </row>
    <row r="702">
      <c r="A702" s="8"/>
      <c r="B702" s="8" t="str">
        <f>IF(ISBLANK(A702),"",VLOOKUP(A702,DOI_URL!$B$1:$C$74,2,FALSE()))</f>
        <v/>
      </c>
      <c r="C702" s="8"/>
      <c r="D702" s="8"/>
      <c r="I702" s="8"/>
      <c r="J702" s="8"/>
    </row>
    <row r="703">
      <c r="A703" s="8"/>
      <c r="B703" s="8" t="str">
        <f>IF(ISBLANK(A703),"",VLOOKUP(A703,DOI_URL!$B$1:$C$74,2,FALSE()))</f>
        <v/>
      </c>
      <c r="C703" s="8"/>
      <c r="D703" s="8"/>
      <c r="I703" s="8"/>
      <c r="J703" s="8"/>
    </row>
    <row r="704">
      <c r="A704" s="8"/>
      <c r="B704" s="8" t="str">
        <f>IF(ISBLANK(A704),"",VLOOKUP(A704,DOI_URL!$B$1:$C$74,2,FALSE()))</f>
        <v/>
      </c>
      <c r="C704" s="8"/>
      <c r="D704" s="8"/>
      <c r="I704" s="8"/>
      <c r="J704" s="8"/>
    </row>
    <row r="705">
      <c r="A705" s="8"/>
      <c r="B705" s="8" t="str">
        <f>IF(ISBLANK(A705),"",VLOOKUP(A705,DOI_URL!$B$1:$C$74,2,FALSE()))</f>
        <v/>
      </c>
      <c r="C705" s="8"/>
      <c r="D705" s="8"/>
      <c r="I705" s="8"/>
      <c r="J705" s="8"/>
    </row>
    <row r="706">
      <c r="A706" s="8"/>
      <c r="B706" s="8" t="str">
        <f>IF(ISBLANK(A706),"",VLOOKUP(A706,DOI_URL!$B$1:$C$74,2,FALSE()))</f>
        <v/>
      </c>
      <c r="C706" s="8"/>
      <c r="D706" s="8"/>
      <c r="I706" s="8"/>
      <c r="J706" s="8"/>
    </row>
    <row r="707">
      <c r="A707" s="8"/>
      <c r="B707" s="8" t="str">
        <f>IF(ISBLANK(A707),"",VLOOKUP(A707,DOI_URL!$B$1:$C$74,2,FALSE()))</f>
        <v/>
      </c>
      <c r="C707" s="8"/>
      <c r="D707" s="8"/>
      <c r="I707" s="8"/>
      <c r="J707" s="8"/>
    </row>
    <row r="708">
      <c r="A708" s="8"/>
      <c r="B708" s="8" t="str">
        <f>IF(ISBLANK(A708),"",VLOOKUP(A708,DOI_URL!$B$1:$C$74,2,FALSE()))</f>
        <v/>
      </c>
      <c r="C708" s="8"/>
      <c r="D708" s="8"/>
      <c r="I708" s="8"/>
      <c r="J708" s="8"/>
    </row>
    <row r="709">
      <c r="A709" s="8"/>
      <c r="B709" s="8" t="str">
        <f>IF(ISBLANK(A709),"",VLOOKUP(A709,DOI_URL!$B$1:$C$74,2,FALSE()))</f>
        <v/>
      </c>
      <c r="C709" s="8"/>
      <c r="D709" s="8"/>
      <c r="I709" s="8"/>
      <c r="J709" s="8"/>
    </row>
    <row r="710">
      <c r="A710" s="8"/>
      <c r="B710" s="8" t="str">
        <f>IF(ISBLANK(A710),"",VLOOKUP(A710,DOI_URL!$B$1:$C$74,2,FALSE()))</f>
        <v/>
      </c>
      <c r="C710" s="8"/>
      <c r="D710" s="8"/>
      <c r="I710" s="8"/>
      <c r="J710" s="8"/>
    </row>
    <row r="711">
      <c r="A711" s="8"/>
      <c r="B711" s="8" t="str">
        <f>IF(ISBLANK(A711),"",VLOOKUP(A711,DOI_URL!$B$1:$C$74,2,FALSE()))</f>
        <v/>
      </c>
      <c r="C711" s="8"/>
      <c r="D711" s="8"/>
      <c r="I711" s="8"/>
      <c r="J711" s="8"/>
    </row>
    <row r="712">
      <c r="A712" s="8"/>
      <c r="B712" s="8" t="str">
        <f>IF(ISBLANK(A712),"",VLOOKUP(A712,DOI_URL!$B$1:$C$74,2,FALSE()))</f>
        <v/>
      </c>
      <c r="C712" s="8"/>
      <c r="D712" s="8"/>
      <c r="I712" s="8"/>
      <c r="J712" s="8"/>
    </row>
    <row r="713">
      <c r="A713" s="8"/>
      <c r="B713" s="8" t="str">
        <f>IF(ISBLANK(A713),"",VLOOKUP(A713,DOI_URL!$B$1:$C$74,2,FALSE()))</f>
        <v/>
      </c>
      <c r="C713" s="8"/>
      <c r="D713" s="8"/>
      <c r="I713" s="8"/>
      <c r="J713" s="8"/>
    </row>
    <row r="714">
      <c r="A714" s="8"/>
      <c r="B714" s="8" t="str">
        <f>IF(ISBLANK(A714),"",VLOOKUP(A714,DOI_URL!$B$1:$C$74,2,FALSE()))</f>
        <v/>
      </c>
      <c r="C714" s="8"/>
      <c r="D714" s="8"/>
      <c r="I714" s="8"/>
      <c r="J714" s="8"/>
    </row>
    <row r="715">
      <c r="A715" s="8"/>
      <c r="B715" s="8" t="str">
        <f>IF(ISBLANK(A715),"",VLOOKUP(A715,DOI_URL!$B$1:$C$74,2,FALSE()))</f>
        <v/>
      </c>
      <c r="C715" s="8"/>
      <c r="D715" s="8"/>
      <c r="I715" s="8"/>
      <c r="J715" s="8"/>
    </row>
    <row r="716">
      <c r="A716" s="8"/>
      <c r="B716" s="8" t="str">
        <f>IF(ISBLANK(A716),"",VLOOKUP(A716,DOI_URL!$B$1:$C$74,2,FALSE()))</f>
        <v/>
      </c>
      <c r="C716" s="8"/>
      <c r="D716" s="8"/>
      <c r="I716" s="8"/>
      <c r="J716" s="8"/>
    </row>
    <row r="717">
      <c r="A717" s="8"/>
      <c r="B717" s="8" t="str">
        <f>IF(ISBLANK(A717),"",VLOOKUP(A717,DOI_URL!$B$1:$C$74,2,FALSE()))</f>
        <v/>
      </c>
      <c r="C717" s="8"/>
      <c r="D717" s="8"/>
      <c r="I717" s="8"/>
      <c r="J717" s="8"/>
    </row>
    <row r="718">
      <c r="A718" s="8"/>
      <c r="B718" s="8" t="str">
        <f>IF(ISBLANK(A718),"",VLOOKUP(A718,DOI_URL!$B$1:$C$74,2,FALSE()))</f>
        <v/>
      </c>
      <c r="C718" s="8"/>
      <c r="D718" s="8"/>
      <c r="I718" s="8"/>
      <c r="J718" s="8"/>
    </row>
    <row r="719">
      <c r="A719" s="8"/>
      <c r="B719" s="8" t="str">
        <f>IF(ISBLANK(A719),"",VLOOKUP(A719,DOI_URL!$B$1:$C$74,2,FALSE()))</f>
        <v/>
      </c>
      <c r="C719" s="8"/>
      <c r="D719" s="8"/>
      <c r="I719" s="8"/>
      <c r="J719" s="8"/>
    </row>
    <row r="720">
      <c r="A720" s="8"/>
      <c r="B720" s="8" t="str">
        <f>IF(ISBLANK(A720),"",VLOOKUP(A720,DOI_URL!$B$1:$C$74,2,FALSE()))</f>
        <v/>
      </c>
      <c r="C720" s="8"/>
      <c r="D720" s="8"/>
      <c r="I720" s="8"/>
      <c r="J720" s="8"/>
    </row>
    <row r="721">
      <c r="A721" s="8"/>
      <c r="B721" s="8" t="str">
        <f>IF(ISBLANK(A721),"",VLOOKUP(A721,DOI_URL!$B$1:$C$74,2,FALSE()))</f>
        <v/>
      </c>
      <c r="C721" s="8"/>
      <c r="D721" s="8"/>
      <c r="I721" s="8"/>
      <c r="J721" s="8"/>
    </row>
    <row r="722">
      <c r="A722" s="8"/>
      <c r="B722" s="8" t="str">
        <f>IF(ISBLANK(A722),"",VLOOKUP(A722,DOI_URL!$B$1:$C$74,2,FALSE()))</f>
        <v/>
      </c>
      <c r="C722" s="8"/>
      <c r="D722" s="8"/>
      <c r="I722" s="8"/>
      <c r="J722" s="8"/>
    </row>
    <row r="723">
      <c r="A723" s="8"/>
      <c r="B723" s="8" t="str">
        <f>IF(ISBLANK(A723),"",VLOOKUP(A723,DOI_URL!$B$1:$C$74,2,FALSE()))</f>
        <v/>
      </c>
      <c r="C723" s="8"/>
      <c r="D723" s="8"/>
      <c r="I723" s="8"/>
      <c r="J723" s="8"/>
    </row>
    <row r="724">
      <c r="A724" s="8"/>
      <c r="B724" s="8" t="str">
        <f>IF(ISBLANK(A724),"",VLOOKUP(A724,DOI_URL!$B$1:$C$74,2,FALSE()))</f>
        <v/>
      </c>
      <c r="C724" s="8"/>
      <c r="D724" s="8"/>
      <c r="I724" s="8"/>
      <c r="J724" s="8"/>
    </row>
    <row r="725">
      <c r="A725" s="8"/>
      <c r="B725" s="8" t="str">
        <f>IF(ISBLANK(A725),"",VLOOKUP(A725,DOI_URL!$B$1:$C$74,2,FALSE()))</f>
        <v/>
      </c>
      <c r="C725" s="8"/>
      <c r="D725" s="8"/>
      <c r="I725" s="8"/>
      <c r="J725" s="8"/>
    </row>
    <row r="726">
      <c r="A726" s="8"/>
      <c r="B726" s="8" t="str">
        <f>IF(ISBLANK(A726),"",VLOOKUP(A726,DOI_URL!$B$1:$C$74,2,FALSE()))</f>
        <v/>
      </c>
      <c r="C726" s="8"/>
      <c r="D726" s="8"/>
      <c r="I726" s="8"/>
      <c r="J726" s="8"/>
    </row>
    <row r="727">
      <c r="A727" s="8"/>
      <c r="B727" s="8" t="str">
        <f>IF(ISBLANK(A727),"",VLOOKUP(A727,DOI_URL!$B$1:$C$74,2,FALSE()))</f>
        <v/>
      </c>
      <c r="C727" s="8"/>
      <c r="D727" s="8"/>
      <c r="I727" s="8"/>
      <c r="J727" s="8"/>
    </row>
    <row r="728">
      <c r="A728" s="8"/>
      <c r="B728" s="8" t="str">
        <f>IF(ISBLANK(A728),"",VLOOKUP(A728,DOI_URL!$B$1:$C$74,2,FALSE()))</f>
        <v/>
      </c>
      <c r="C728" s="8"/>
      <c r="D728" s="8"/>
      <c r="I728" s="8"/>
      <c r="J728" s="8"/>
    </row>
    <row r="729">
      <c r="A729" s="8"/>
      <c r="B729" s="8" t="str">
        <f>IF(ISBLANK(A729),"",VLOOKUP(A729,DOI_URL!$B$1:$C$74,2,FALSE()))</f>
        <v/>
      </c>
      <c r="C729" s="8"/>
      <c r="D729" s="8"/>
      <c r="I729" s="8"/>
      <c r="J729" s="8"/>
    </row>
    <row r="730">
      <c r="A730" s="8"/>
      <c r="B730" s="8" t="str">
        <f>IF(ISBLANK(A730),"",VLOOKUP(A730,DOI_URL!$B$1:$C$74,2,FALSE()))</f>
        <v/>
      </c>
      <c r="C730" s="8"/>
      <c r="D730" s="8"/>
      <c r="I730" s="8"/>
      <c r="J730" s="8"/>
    </row>
    <row r="731">
      <c r="A731" s="8"/>
      <c r="B731" s="8" t="str">
        <f>IF(ISBLANK(A731),"",VLOOKUP(A731,DOI_URL!$B$1:$C$74,2,FALSE()))</f>
        <v/>
      </c>
      <c r="C731" s="8"/>
      <c r="D731" s="8"/>
      <c r="I731" s="8"/>
      <c r="J731" s="8"/>
    </row>
    <row r="732">
      <c r="A732" s="8"/>
      <c r="B732" s="8" t="str">
        <f>IF(ISBLANK(A732),"",VLOOKUP(A732,DOI_URL!$B$1:$C$74,2,FALSE()))</f>
        <v/>
      </c>
      <c r="C732" s="8"/>
      <c r="D732" s="8"/>
      <c r="I732" s="8"/>
      <c r="J732" s="8"/>
    </row>
    <row r="733">
      <c r="A733" s="8"/>
      <c r="B733" s="8" t="str">
        <f>IF(ISBLANK(A733),"",VLOOKUP(A733,DOI_URL!$B$1:$C$74,2,FALSE()))</f>
        <v/>
      </c>
      <c r="C733" s="8"/>
      <c r="D733" s="8"/>
      <c r="I733" s="8"/>
      <c r="J733" s="8"/>
    </row>
    <row r="734">
      <c r="A734" s="8"/>
      <c r="B734" s="8" t="str">
        <f>IF(ISBLANK(A734),"",VLOOKUP(A734,DOI_URL!$B$1:$C$74,2,FALSE()))</f>
        <v/>
      </c>
      <c r="C734" s="8"/>
      <c r="D734" s="8"/>
      <c r="I734" s="8"/>
      <c r="J734" s="8"/>
    </row>
    <row r="735">
      <c r="A735" s="8"/>
      <c r="B735" s="8" t="str">
        <f>IF(ISBLANK(A735),"",VLOOKUP(A735,DOI_URL!$B$1:$C$74,2,FALSE()))</f>
        <v/>
      </c>
      <c r="C735" s="8"/>
      <c r="D735" s="8"/>
      <c r="I735" s="8"/>
      <c r="J735" s="8"/>
    </row>
    <row r="736">
      <c r="A736" s="8"/>
      <c r="B736" s="8" t="str">
        <f>IF(ISBLANK(A736),"",VLOOKUP(A736,DOI_URL!$B$1:$C$74,2,FALSE()))</f>
        <v/>
      </c>
      <c r="C736" s="8"/>
      <c r="D736" s="8"/>
      <c r="I736" s="8"/>
      <c r="J736" s="8"/>
    </row>
    <row r="737">
      <c r="A737" s="8"/>
      <c r="B737" s="8" t="str">
        <f>IF(ISBLANK(A737),"",VLOOKUP(A737,DOI_URL!$B$1:$C$74,2,FALSE()))</f>
        <v/>
      </c>
      <c r="C737" s="8"/>
      <c r="D737" s="8"/>
      <c r="I737" s="8"/>
      <c r="J737" s="8"/>
    </row>
    <row r="738">
      <c r="A738" s="8"/>
      <c r="B738" s="8" t="str">
        <f>IF(ISBLANK(A738),"",VLOOKUP(A738,DOI_URL!$B$1:$C$74,2,FALSE()))</f>
        <v/>
      </c>
      <c r="C738" s="8"/>
      <c r="D738" s="8"/>
      <c r="I738" s="8"/>
      <c r="J738" s="8"/>
    </row>
    <row r="739">
      <c r="A739" s="8"/>
      <c r="B739" s="8" t="str">
        <f>IF(ISBLANK(A739),"",VLOOKUP(A739,DOI_URL!$B$1:$C$74,2,FALSE()))</f>
        <v/>
      </c>
      <c r="C739" s="8"/>
      <c r="D739" s="8"/>
      <c r="I739" s="8"/>
      <c r="J739" s="8"/>
    </row>
    <row r="740">
      <c r="A740" s="8"/>
      <c r="B740" s="8" t="str">
        <f>IF(ISBLANK(A740),"",VLOOKUP(A740,DOI_URL!$B$1:$C$74,2,FALSE()))</f>
        <v/>
      </c>
      <c r="C740" s="8"/>
      <c r="D740" s="8"/>
      <c r="I740" s="8"/>
      <c r="J740" s="8"/>
    </row>
    <row r="741">
      <c r="A741" s="8"/>
      <c r="B741" s="8" t="str">
        <f>IF(ISBLANK(A741),"",VLOOKUP(A741,DOI_URL!$B$1:$C$74,2,FALSE()))</f>
        <v/>
      </c>
      <c r="C741" s="8"/>
      <c r="D741" s="8"/>
      <c r="I741" s="8"/>
      <c r="J741" s="8"/>
    </row>
    <row r="742">
      <c r="A742" s="8"/>
      <c r="B742" s="8" t="str">
        <f>IF(ISBLANK(A742),"",VLOOKUP(A742,DOI_URL!$B$1:$C$74,2,FALSE()))</f>
        <v/>
      </c>
      <c r="C742" s="8"/>
      <c r="D742" s="8"/>
      <c r="I742" s="8"/>
      <c r="J742" s="8"/>
    </row>
    <row r="743">
      <c r="A743" s="8"/>
      <c r="B743" s="8" t="str">
        <f>IF(ISBLANK(A743),"",VLOOKUP(A743,DOI_URL!$B$1:$C$74,2,FALSE()))</f>
        <v/>
      </c>
      <c r="C743" s="8"/>
      <c r="D743" s="8"/>
      <c r="I743" s="8"/>
      <c r="J743" s="8"/>
    </row>
    <row r="744">
      <c r="A744" s="8"/>
      <c r="B744" s="8" t="str">
        <f>IF(ISBLANK(A744),"",VLOOKUP(A744,DOI_URL!$B$1:$C$74,2,FALSE()))</f>
        <v/>
      </c>
      <c r="C744" s="8"/>
      <c r="D744" s="8"/>
      <c r="I744" s="8"/>
      <c r="J744" s="8"/>
    </row>
    <row r="745">
      <c r="A745" s="8"/>
      <c r="B745" s="8" t="str">
        <f>IF(ISBLANK(A745),"",VLOOKUP(A745,DOI_URL!$B$1:$C$74,2,FALSE()))</f>
        <v/>
      </c>
      <c r="C745" s="8"/>
      <c r="D745" s="8"/>
      <c r="I745" s="8"/>
      <c r="J745" s="8"/>
    </row>
    <row r="746">
      <c r="A746" s="8"/>
      <c r="B746" s="8" t="str">
        <f>IF(ISBLANK(A746),"",VLOOKUP(A746,DOI_URL!$B$1:$C$74,2,FALSE()))</f>
        <v/>
      </c>
      <c r="C746" s="8"/>
      <c r="D746" s="8"/>
      <c r="I746" s="8"/>
      <c r="J746" s="8"/>
    </row>
    <row r="747">
      <c r="A747" s="8"/>
      <c r="B747" s="8" t="str">
        <f>IF(ISBLANK(A747),"",VLOOKUP(A747,DOI_URL!$B$1:$C$74,2,FALSE()))</f>
        <v/>
      </c>
      <c r="C747" s="8"/>
      <c r="D747" s="8"/>
      <c r="I747" s="8"/>
      <c r="J747" s="8"/>
    </row>
    <row r="748">
      <c r="A748" s="8"/>
      <c r="B748" s="8" t="str">
        <f>IF(ISBLANK(A748),"",VLOOKUP(A748,DOI_URL!$B$1:$C$74,2,FALSE()))</f>
        <v/>
      </c>
      <c r="C748" s="8"/>
      <c r="D748" s="8"/>
      <c r="I748" s="8"/>
      <c r="J748" s="8"/>
    </row>
    <row r="749">
      <c r="A749" s="8"/>
      <c r="B749" s="8" t="str">
        <f>IF(ISBLANK(A749),"",VLOOKUP(A749,DOI_URL!$B$1:$C$74,2,FALSE()))</f>
        <v/>
      </c>
      <c r="C749" s="8"/>
      <c r="D749" s="8"/>
      <c r="I749" s="8"/>
      <c r="J749" s="8"/>
    </row>
    <row r="750">
      <c r="A750" s="8"/>
      <c r="B750" s="8" t="str">
        <f>IF(ISBLANK(A750),"",VLOOKUP(A750,DOI_URL!$B$1:$C$74,2,FALSE()))</f>
        <v/>
      </c>
      <c r="C750" s="8"/>
      <c r="D750" s="8"/>
      <c r="I750" s="8"/>
      <c r="J750" s="8"/>
    </row>
    <row r="751">
      <c r="A751" s="8"/>
      <c r="B751" s="8" t="str">
        <f>IF(ISBLANK(A751),"",VLOOKUP(A751,DOI_URL!$B$1:$C$74,2,FALSE()))</f>
        <v/>
      </c>
      <c r="C751" s="8"/>
      <c r="D751" s="8"/>
      <c r="I751" s="8"/>
      <c r="J751" s="8"/>
    </row>
    <row r="752">
      <c r="A752" s="8"/>
      <c r="B752" s="8" t="str">
        <f>IF(ISBLANK(A752),"",VLOOKUP(A752,DOI_URL!$B$1:$C$74,2,FALSE()))</f>
        <v/>
      </c>
      <c r="C752" s="8"/>
      <c r="D752" s="8"/>
      <c r="I752" s="8"/>
      <c r="J752" s="8"/>
    </row>
    <row r="753">
      <c r="A753" s="8"/>
      <c r="B753" s="8" t="str">
        <f>IF(ISBLANK(A753),"",VLOOKUP(A753,DOI_URL!$B$1:$C$74,2,FALSE()))</f>
        <v/>
      </c>
      <c r="C753" s="8"/>
      <c r="D753" s="8"/>
      <c r="I753" s="8"/>
      <c r="J753" s="8"/>
    </row>
    <row r="754">
      <c r="A754" s="8"/>
      <c r="B754" s="8" t="str">
        <f>IF(ISBLANK(A754),"",VLOOKUP(A754,DOI_URL!$B$1:$C$74,2,FALSE()))</f>
        <v/>
      </c>
      <c r="C754" s="8"/>
      <c r="D754" s="8"/>
      <c r="I754" s="8"/>
      <c r="J754" s="8"/>
    </row>
    <row r="755">
      <c r="A755" s="8"/>
      <c r="B755" s="8" t="str">
        <f>IF(ISBLANK(A755),"",VLOOKUP(A755,DOI_URL!$B$1:$C$74,2,FALSE()))</f>
        <v/>
      </c>
      <c r="C755" s="8"/>
      <c r="D755" s="8"/>
      <c r="I755" s="8"/>
      <c r="J755" s="8"/>
    </row>
    <row r="756">
      <c r="A756" s="8"/>
      <c r="B756" s="8" t="str">
        <f>IF(ISBLANK(A756),"",VLOOKUP(A756,DOI_URL!$B$1:$C$74,2,FALSE()))</f>
        <v/>
      </c>
      <c r="C756" s="8"/>
      <c r="D756" s="8"/>
      <c r="I756" s="8"/>
      <c r="J756" s="8"/>
    </row>
    <row r="757">
      <c r="A757" s="8"/>
      <c r="B757" s="8" t="str">
        <f>IF(ISBLANK(A757),"",VLOOKUP(A757,DOI_URL!$B$1:$C$74,2,FALSE()))</f>
        <v/>
      </c>
      <c r="C757" s="8"/>
      <c r="D757" s="8"/>
      <c r="I757" s="8"/>
      <c r="J757" s="8"/>
    </row>
    <row r="758">
      <c r="A758" s="8"/>
      <c r="B758" s="8" t="str">
        <f>IF(ISBLANK(A758),"",VLOOKUP(A758,DOI_URL!$B$1:$C$74,2,FALSE()))</f>
        <v/>
      </c>
      <c r="C758" s="8"/>
      <c r="D758" s="8"/>
      <c r="I758" s="8"/>
      <c r="J758" s="8"/>
    </row>
    <row r="759">
      <c r="A759" s="8"/>
      <c r="B759" s="8" t="str">
        <f>IF(ISBLANK(A759),"",VLOOKUP(A759,DOI_URL!$B$1:$C$74,2,FALSE()))</f>
        <v/>
      </c>
      <c r="C759" s="8"/>
      <c r="D759" s="8"/>
      <c r="I759" s="8"/>
      <c r="J759" s="8"/>
    </row>
    <row r="760">
      <c r="A760" s="8"/>
      <c r="B760" s="8" t="str">
        <f>IF(ISBLANK(A760),"",VLOOKUP(A760,DOI_URL!$B$1:$C$74,2,FALSE()))</f>
        <v/>
      </c>
      <c r="C760" s="8"/>
      <c r="D760" s="8"/>
      <c r="I760" s="8"/>
      <c r="J760" s="8"/>
    </row>
    <row r="761">
      <c r="A761" s="8"/>
      <c r="B761" s="8" t="str">
        <f>IF(ISBLANK(A761),"",VLOOKUP(A761,DOI_URL!$B$1:$C$74,2,FALSE()))</f>
        <v/>
      </c>
      <c r="C761" s="8"/>
      <c r="D761" s="8"/>
      <c r="I761" s="8"/>
      <c r="J761" s="8"/>
    </row>
    <row r="762">
      <c r="A762" s="8"/>
      <c r="B762" s="8" t="str">
        <f>IF(ISBLANK(A762),"",VLOOKUP(A762,DOI_URL!$B$1:$C$74,2,FALSE()))</f>
        <v/>
      </c>
      <c r="C762" s="8"/>
      <c r="D762" s="8"/>
      <c r="I762" s="8"/>
      <c r="J762" s="8"/>
    </row>
    <row r="763">
      <c r="A763" s="8"/>
      <c r="B763" s="8" t="str">
        <f>IF(ISBLANK(A763),"",VLOOKUP(A763,DOI_URL!$B$1:$C$74,2,FALSE()))</f>
        <v/>
      </c>
      <c r="C763" s="8"/>
      <c r="D763" s="8"/>
      <c r="I763" s="8"/>
      <c r="J763" s="8"/>
    </row>
    <row r="764">
      <c r="A764" s="8"/>
      <c r="B764" s="8" t="str">
        <f>IF(ISBLANK(A764),"",VLOOKUP(A764,DOI_URL!$B$1:$C$74,2,FALSE()))</f>
        <v/>
      </c>
      <c r="C764" s="8"/>
      <c r="D764" s="8"/>
      <c r="I764" s="8"/>
      <c r="J764" s="8"/>
    </row>
    <row r="765">
      <c r="A765" s="8"/>
      <c r="B765" s="8" t="str">
        <f>IF(ISBLANK(A765),"",VLOOKUP(A765,DOI_URL!$B$1:$C$74,2,FALSE()))</f>
        <v/>
      </c>
      <c r="C765" s="8"/>
      <c r="D765" s="8"/>
      <c r="I765" s="8"/>
      <c r="J765" s="8"/>
    </row>
    <row r="766">
      <c r="A766" s="8"/>
      <c r="B766" s="8" t="str">
        <f>IF(ISBLANK(A766),"",VLOOKUP(A766,DOI_URL!$B$1:$C$74,2,FALSE()))</f>
        <v/>
      </c>
      <c r="C766" s="8"/>
      <c r="D766" s="8"/>
      <c r="I766" s="8"/>
      <c r="J766" s="8"/>
    </row>
    <row r="767">
      <c r="A767" s="8"/>
      <c r="B767" s="8" t="str">
        <f>IF(ISBLANK(A767),"",VLOOKUP(A767,DOI_URL!$B$1:$C$74,2,FALSE()))</f>
        <v/>
      </c>
      <c r="C767" s="8"/>
      <c r="D767" s="8"/>
      <c r="I767" s="8"/>
      <c r="J767" s="8"/>
    </row>
    <row r="768">
      <c r="A768" s="8"/>
      <c r="B768" s="8" t="str">
        <f>IF(ISBLANK(A768),"",VLOOKUP(A768,DOI_URL!$B$1:$C$74,2,FALSE()))</f>
        <v/>
      </c>
      <c r="C768" s="8"/>
      <c r="D768" s="8"/>
      <c r="I768" s="8"/>
      <c r="J768" s="8"/>
    </row>
    <row r="769">
      <c r="A769" s="8"/>
      <c r="B769" s="8" t="str">
        <f>IF(ISBLANK(A769),"",VLOOKUP(A769,DOI_URL!$B$1:$C$74,2,FALSE()))</f>
        <v/>
      </c>
      <c r="C769" s="8"/>
      <c r="D769" s="8"/>
      <c r="I769" s="8"/>
      <c r="J769" s="8"/>
    </row>
    <row r="770">
      <c r="A770" s="8"/>
      <c r="B770" s="8" t="str">
        <f>IF(ISBLANK(A770),"",VLOOKUP(A770,DOI_URL!$B$1:$C$74,2,FALSE()))</f>
        <v/>
      </c>
      <c r="C770" s="8"/>
      <c r="D770" s="8"/>
      <c r="I770" s="8"/>
      <c r="J770" s="8"/>
    </row>
    <row r="771">
      <c r="A771" s="8"/>
      <c r="B771" s="8" t="str">
        <f>IF(ISBLANK(A771),"",VLOOKUP(A771,DOI_URL!$B$1:$C$74,2,FALSE()))</f>
        <v/>
      </c>
      <c r="C771" s="8"/>
      <c r="D771" s="8"/>
      <c r="I771" s="8"/>
      <c r="J771" s="8"/>
    </row>
    <row r="772">
      <c r="A772" s="8"/>
      <c r="B772" s="8" t="str">
        <f>IF(ISBLANK(A772),"",VLOOKUP(A772,DOI_URL!$B$1:$C$74,2,FALSE()))</f>
        <v/>
      </c>
      <c r="C772" s="8"/>
      <c r="D772" s="8"/>
      <c r="I772" s="8"/>
      <c r="J772" s="8"/>
    </row>
    <row r="773">
      <c r="A773" s="8"/>
      <c r="B773" s="8" t="str">
        <f>IF(ISBLANK(A773),"",VLOOKUP(A773,DOI_URL!$B$1:$C$74,2,FALSE()))</f>
        <v/>
      </c>
      <c r="C773" s="8"/>
      <c r="D773" s="8"/>
      <c r="I773" s="8"/>
      <c r="J773" s="8"/>
    </row>
    <row r="774">
      <c r="A774" s="8"/>
      <c r="B774" s="8" t="str">
        <f>IF(ISBLANK(A774),"",VLOOKUP(A774,DOI_URL!$B$1:$C$74,2,FALSE()))</f>
        <v/>
      </c>
      <c r="C774" s="8"/>
      <c r="D774" s="8"/>
      <c r="I774" s="8"/>
      <c r="J774" s="8"/>
    </row>
    <row r="775">
      <c r="A775" s="8"/>
      <c r="B775" s="8" t="str">
        <f>IF(ISBLANK(A775),"",VLOOKUP(A775,DOI_URL!$B$1:$C$74,2,FALSE()))</f>
        <v/>
      </c>
      <c r="C775" s="8"/>
      <c r="D775" s="8"/>
      <c r="I775" s="8"/>
      <c r="J775" s="8"/>
    </row>
    <row r="776">
      <c r="A776" s="8"/>
      <c r="B776" s="8" t="str">
        <f>IF(ISBLANK(A776),"",VLOOKUP(A776,DOI_URL!$B$1:$C$74,2,FALSE()))</f>
        <v/>
      </c>
      <c r="C776" s="8"/>
      <c r="D776" s="8"/>
      <c r="I776" s="8"/>
      <c r="J776" s="8"/>
    </row>
    <row r="777">
      <c r="A777" s="8"/>
      <c r="B777" s="8" t="str">
        <f>IF(ISBLANK(A777),"",VLOOKUP(A777,DOI_URL!$B$1:$C$74,2,FALSE()))</f>
        <v/>
      </c>
      <c r="C777" s="8"/>
      <c r="D777" s="8"/>
      <c r="I777" s="8"/>
      <c r="J777" s="8"/>
    </row>
    <row r="778">
      <c r="A778" s="8"/>
      <c r="B778" s="8" t="str">
        <f>IF(ISBLANK(A778),"",VLOOKUP(A778,DOI_URL!$B$1:$C$74,2,FALSE()))</f>
        <v/>
      </c>
      <c r="C778" s="8"/>
      <c r="D778" s="8"/>
      <c r="I778" s="8"/>
      <c r="J778" s="8"/>
    </row>
    <row r="779">
      <c r="A779" s="8"/>
      <c r="B779" s="8" t="str">
        <f>IF(ISBLANK(A779),"",VLOOKUP(A779,DOI_URL!$B$1:$C$74,2,FALSE()))</f>
        <v/>
      </c>
      <c r="C779" s="8"/>
      <c r="D779" s="8"/>
      <c r="I779" s="8"/>
      <c r="J779" s="8"/>
    </row>
    <row r="780">
      <c r="A780" s="8"/>
      <c r="B780" s="8" t="str">
        <f>IF(ISBLANK(A780),"",VLOOKUP(A780,DOI_URL!$B$1:$C$74,2,FALSE()))</f>
        <v/>
      </c>
      <c r="C780" s="8"/>
      <c r="D780" s="8"/>
      <c r="I780" s="8"/>
      <c r="J780" s="8"/>
    </row>
    <row r="781">
      <c r="A781" s="8"/>
      <c r="B781" s="8" t="str">
        <f>IF(ISBLANK(A781),"",VLOOKUP(A781,DOI_URL!$B$1:$C$74,2,FALSE()))</f>
        <v/>
      </c>
      <c r="C781" s="8"/>
      <c r="D781" s="8"/>
      <c r="I781" s="8"/>
      <c r="J781" s="8"/>
    </row>
    <row r="782">
      <c r="A782" s="8"/>
      <c r="B782" s="8" t="str">
        <f>IF(ISBLANK(A782),"",VLOOKUP(A782,DOI_URL!$B$1:$C$74,2,FALSE()))</f>
        <v/>
      </c>
      <c r="C782" s="8"/>
      <c r="D782" s="8"/>
      <c r="I782" s="8"/>
      <c r="J782" s="8"/>
    </row>
    <row r="783">
      <c r="A783" s="8"/>
      <c r="B783" s="8" t="str">
        <f>IF(ISBLANK(A783),"",VLOOKUP(A783,DOI_URL!$B$1:$C$74,2,FALSE()))</f>
        <v/>
      </c>
      <c r="C783" s="8"/>
      <c r="D783" s="8"/>
      <c r="I783" s="8"/>
      <c r="J783" s="8"/>
    </row>
    <row r="784">
      <c r="A784" s="8"/>
      <c r="B784" s="8" t="str">
        <f>IF(ISBLANK(A784),"",VLOOKUP(A784,DOI_URL!$B$1:$C$74,2,FALSE()))</f>
        <v/>
      </c>
      <c r="C784" s="8"/>
      <c r="D784" s="8"/>
      <c r="I784" s="8"/>
      <c r="J784" s="8"/>
    </row>
    <row r="785">
      <c r="A785" s="8"/>
      <c r="B785" s="8" t="str">
        <f>IF(ISBLANK(A785),"",VLOOKUP(A785,DOI_URL!$B$1:$C$74,2,FALSE()))</f>
        <v/>
      </c>
      <c r="C785" s="8"/>
      <c r="D785" s="8"/>
      <c r="I785" s="8"/>
      <c r="J785" s="8"/>
    </row>
    <row r="786">
      <c r="A786" s="8"/>
      <c r="B786" s="8" t="str">
        <f>IF(ISBLANK(A786),"",VLOOKUP(A786,DOI_URL!$B$1:$C$74,2,FALSE()))</f>
        <v/>
      </c>
      <c r="C786" s="8"/>
      <c r="D786" s="8"/>
      <c r="I786" s="8"/>
      <c r="J786" s="8"/>
    </row>
    <row r="787">
      <c r="A787" s="8"/>
      <c r="B787" s="8" t="str">
        <f>IF(ISBLANK(A787),"",VLOOKUP(A787,DOI_URL!$B$1:$C$74,2,FALSE()))</f>
        <v/>
      </c>
      <c r="C787" s="8"/>
      <c r="D787" s="8"/>
      <c r="I787" s="8"/>
      <c r="J787" s="8"/>
    </row>
    <row r="788">
      <c r="A788" s="8"/>
      <c r="B788" s="8" t="str">
        <f>IF(ISBLANK(A788),"",VLOOKUP(A788,DOI_URL!$B$1:$C$74,2,FALSE()))</f>
        <v/>
      </c>
      <c r="C788" s="8"/>
      <c r="D788" s="8"/>
      <c r="I788" s="8"/>
      <c r="J788" s="8"/>
    </row>
    <row r="789">
      <c r="A789" s="8"/>
      <c r="B789" s="8" t="str">
        <f>IF(ISBLANK(A789),"",VLOOKUP(A789,DOI_URL!$B$1:$C$74,2,FALSE()))</f>
        <v/>
      </c>
      <c r="C789" s="8"/>
      <c r="D789" s="8"/>
      <c r="I789" s="8"/>
      <c r="J789" s="8"/>
    </row>
    <row r="790">
      <c r="A790" s="8"/>
      <c r="B790" s="8" t="str">
        <f>IF(ISBLANK(A790),"",VLOOKUP(A790,DOI_URL!$B$1:$C$74,2,FALSE()))</f>
        <v/>
      </c>
      <c r="C790" s="8"/>
      <c r="D790" s="8"/>
      <c r="I790" s="8"/>
      <c r="J790" s="8"/>
    </row>
    <row r="791">
      <c r="A791" s="8"/>
      <c r="B791" s="8" t="str">
        <f>IF(ISBLANK(A791),"",VLOOKUP(A791,DOI_URL!$B$1:$C$74,2,FALSE()))</f>
        <v/>
      </c>
      <c r="C791" s="8"/>
      <c r="D791" s="8"/>
      <c r="I791" s="8"/>
      <c r="J791" s="8"/>
    </row>
    <row r="792">
      <c r="A792" s="8"/>
      <c r="B792" s="8" t="str">
        <f>IF(ISBLANK(A792),"",VLOOKUP(A792,DOI_URL!$B$1:$C$74,2,FALSE()))</f>
        <v/>
      </c>
      <c r="C792" s="8"/>
      <c r="D792" s="8"/>
      <c r="I792" s="8"/>
      <c r="J792" s="8"/>
    </row>
    <row r="793">
      <c r="A793" s="8"/>
      <c r="B793" s="8" t="str">
        <f>IF(ISBLANK(A793),"",VLOOKUP(A793,DOI_URL!$B$1:$C$74,2,FALSE()))</f>
        <v/>
      </c>
      <c r="C793" s="8"/>
      <c r="D793" s="8"/>
      <c r="I793" s="8"/>
      <c r="J793" s="8"/>
    </row>
    <row r="794">
      <c r="A794" s="8"/>
      <c r="B794" s="8" t="str">
        <f>IF(ISBLANK(A794),"",VLOOKUP(A794,DOI_URL!$B$1:$C$74,2,FALSE()))</f>
        <v/>
      </c>
      <c r="C794" s="8"/>
      <c r="D794" s="8"/>
      <c r="I794" s="8"/>
      <c r="J794" s="8"/>
    </row>
    <row r="795">
      <c r="A795" s="8"/>
      <c r="B795" s="8" t="str">
        <f>IF(ISBLANK(A795),"",VLOOKUP(A795,DOI_URL!$B$1:$C$74,2,FALSE()))</f>
        <v/>
      </c>
      <c r="C795" s="8"/>
      <c r="D795" s="8"/>
      <c r="I795" s="8"/>
      <c r="J795" s="8"/>
    </row>
    <row r="796">
      <c r="A796" s="8"/>
      <c r="B796" s="8" t="str">
        <f>IF(ISBLANK(A796),"",VLOOKUP(A796,DOI_URL!$B$1:$C$74,2,FALSE()))</f>
        <v/>
      </c>
      <c r="C796" s="8"/>
      <c r="D796" s="8"/>
      <c r="I796" s="8"/>
      <c r="J796" s="8"/>
    </row>
    <row r="797">
      <c r="A797" s="8"/>
      <c r="B797" s="8" t="str">
        <f>IF(ISBLANK(A797),"",VLOOKUP(A797,DOI_URL!$B$1:$C$74,2,FALSE()))</f>
        <v/>
      </c>
      <c r="C797" s="8"/>
      <c r="D797" s="8"/>
      <c r="I797" s="8"/>
      <c r="J797" s="8"/>
    </row>
    <row r="798">
      <c r="A798" s="8"/>
      <c r="B798" s="8" t="str">
        <f>IF(ISBLANK(A798),"",VLOOKUP(A798,DOI_URL!$B$1:$C$74,2,FALSE()))</f>
        <v/>
      </c>
      <c r="C798" s="8"/>
      <c r="D798" s="8"/>
      <c r="I798" s="8"/>
      <c r="J798" s="8"/>
    </row>
    <row r="799">
      <c r="A799" s="8"/>
      <c r="B799" s="8" t="str">
        <f>IF(ISBLANK(A799),"",VLOOKUP(A799,DOI_URL!$B$1:$C$74,2,FALSE()))</f>
        <v/>
      </c>
      <c r="C799" s="8"/>
      <c r="D799" s="8"/>
      <c r="I799" s="8"/>
      <c r="J799" s="8"/>
    </row>
    <row r="800">
      <c r="A800" s="8"/>
      <c r="B800" s="8" t="str">
        <f>IF(ISBLANK(A800),"",VLOOKUP(A800,DOI_URL!$B$1:$C$74,2,FALSE()))</f>
        <v/>
      </c>
      <c r="C800" s="8"/>
      <c r="D800" s="8"/>
      <c r="I800" s="8"/>
      <c r="J800" s="8"/>
    </row>
    <row r="801">
      <c r="A801" s="8"/>
      <c r="B801" s="8" t="str">
        <f>IF(ISBLANK(A801),"",VLOOKUP(A801,DOI_URL!$B$1:$C$74,2,FALSE()))</f>
        <v/>
      </c>
      <c r="C801" s="8"/>
      <c r="D801" s="8"/>
      <c r="I801" s="8"/>
      <c r="J801" s="8"/>
    </row>
    <row r="802">
      <c r="A802" s="8"/>
      <c r="B802" s="8" t="str">
        <f>IF(ISBLANK(A802),"",VLOOKUP(A802,DOI_URL!$B$1:$C$74,2,FALSE()))</f>
        <v/>
      </c>
      <c r="C802" s="8"/>
      <c r="D802" s="8"/>
      <c r="I802" s="8"/>
      <c r="J802" s="8"/>
    </row>
    <row r="803">
      <c r="A803" s="8"/>
      <c r="B803" s="8" t="str">
        <f>IF(ISBLANK(A803),"",VLOOKUP(A803,DOI_URL!$B$1:$C$74,2,FALSE()))</f>
        <v/>
      </c>
      <c r="C803" s="8"/>
      <c r="D803" s="8"/>
      <c r="I803" s="8"/>
      <c r="J803" s="8"/>
    </row>
    <row r="804">
      <c r="A804" s="8"/>
      <c r="B804" s="8" t="str">
        <f>IF(ISBLANK(A804),"",VLOOKUP(A804,DOI_URL!$B$1:$C$74,2,FALSE()))</f>
        <v/>
      </c>
      <c r="C804" s="8"/>
      <c r="D804" s="8"/>
      <c r="I804" s="8"/>
      <c r="J804" s="8"/>
    </row>
    <row r="805">
      <c r="A805" s="8"/>
      <c r="B805" s="8" t="str">
        <f>IF(ISBLANK(A805),"",VLOOKUP(A805,DOI_URL!$B$1:$C$74,2,FALSE()))</f>
        <v/>
      </c>
      <c r="C805" s="8"/>
      <c r="D805" s="8"/>
      <c r="I805" s="8"/>
      <c r="J805" s="8"/>
    </row>
    <row r="806">
      <c r="A806" s="8"/>
      <c r="B806" s="8" t="str">
        <f>IF(ISBLANK(A806),"",VLOOKUP(A806,DOI_URL!$B$1:$C$74,2,FALSE()))</f>
        <v/>
      </c>
      <c r="C806" s="8"/>
      <c r="D806" s="8"/>
      <c r="I806" s="8"/>
      <c r="J806" s="8"/>
    </row>
    <row r="807">
      <c r="A807" s="8"/>
      <c r="B807" s="8" t="str">
        <f>IF(ISBLANK(A807),"",VLOOKUP(A807,DOI_URL!$B$1:$C$74,2,FALSE()))</f>
        <v/>
      </c>
      <c r="C807" s="8"/>
      <c r="D807" s="8"/>
      <c r="I807" s="8"/>
      <c r="J807" s="8"/>
    </row>
    <row r="808">
      <c r="A808" s="8"/>
      <c r="B808" s="8" t="str">
        <f>IF(ISBLANK(A808),"",VLOOKUP(A808,DOI_URL!$B$1:$C$74,2,FALSE()))</f>
        <v/>
      </c>
      <c r="C808" s="8"/>
      <c r="D808" s="8"/>
      <c r="I808" s="8"/>
      <c r="J808" s="8"/>
    </row>
    <row r="809">
      <c r="A809" s="8"/>
      <c r="B809" s="8" t="str">
        <f>IF(ISBLANK(A809),"",VLOOKUP(A809,DOI_URL!$B$1:$C$74,2,FALSE()))</f>
        <v/>
      </c>
      <c r="C809" s="8"/>
      <c r="D809" s="8"/>
      <c r="I809" s="8"/>
      <c r="J809" s="8"/>
    </row>
    <row r="810">
      <c r="A810" s="8"/>
      <c r="B810" s="8" t="str">
        <f>IF(ISBLANK(A810),"",VLOOKUP(A810,DOI_URL!$B$1:$C$74,2,FALSE()))</f>
        <v/>
      </c>
      <c r="C810" s="8"/>
      <c r="D810" s="8"/>
      <c r="I810" s="8"/>
      <c r="J810" s="8"/>
    </row>
    <row r="811">
      <c r="A811" s="8"/>
      <c r="B811" s="8" t="str">
        <f>IF(ISBLANK(A811),"",VLOOKUP(A811,DOI_URL!$B$1:$C$74,2,FALSE()))</f>
        <v/>
      </c>
      <c r="C811" s="8"/>
      <c r="D811" s="8"/>
      <c r="I811" s="8"/>
      <c r="J811" s="8"/>
    </row>
    <row r="812">
      <c r="A812" s="8"/>
      <c r="B812" s="8" t="str">
        <f>IF(ISBLANK(A812),"",VLOOKUP(A812,DOI_URL!$B$1:$C$74,2,FALSE()))</f>
        <v/>
      </c>
      <c r="C812" s="8"/>
      <c r="D812" s="8"/>
      <c r="I812" s="8"/>
      <c r="J812" s="8"/>
    </row>
    <row r="813">
      <c r="A813" s="8"/>
      <c r="B813" s="8" t="str">
        <f>IF(ISBLANK(A813),"",VLOOKUP(A813,DOI_URL!$B$1:$C$74,2,FALSE()))</f>
        <v/>
      </c>
      <c r="C813" s="8"/>
      <c r="D813" s="8"/>
      <c r="I813" s="8"/>
      <c r="J813" s="8"/>
    </row>
    <row r="814">
      <c r="A814" s="8"/>
      <c r="B814" s="8" t="str">
        <f>IF(ISBLANK(A814),"",VLOOKUP(A814,DOI_URL!$B$1:$C$74,2,FALSE()))</f>
        <v/>
      </c>
      <c r="C814" s="8"/>
      <c r="D814" s="8"/>
      <c r="I814" s="8"/>
      <c r="J814" s="8"/>
    </row>
    <row r="815">
      <c r="A815" s="8"/>
      <c r="B815" s="8" t="str">
        <f>IF(ISBLANK(A815),"",VLOOKUP(A815,DOI_URL!$B$1:$C$74,2,FALSE()))</f>
        <v/>
      </c>
      <c r="C815" s="8"/>
      <c r="D815" s="8"/>
      <c r="I815" s="8"/>
      <c r="J815" s="8"/>
    </row>
    <row r="816">
      <c r="A816" s="8"/>
      <c r="B816" s="8" t="str">
        <f>IF(ISBLANK(A816),"",VLOOKUP(A816,DOI_URL!$B$1:$C$74,2,FALSE()))</f>
        <v/>
      </c>
      <c r="C816" s="8"/>
      <c r="D816" s="8"/>
      <c r="I816" s="8"/>
      <c r="J816" s="8"/>
    </row>
    <row r="817">
      <c r="A817" s="8"/>
      <c r="B817" s="8" t="str">
        <f>IF(ISBLANK(A817),"",VLOOKUP(A817,DOI_URL!$B$1:$C$74,2,FALSE()))</f>
        <v/>
      </c>
      <c r="C817" s="8"/>
      <c r="D817" s="8"/>
      <c r="I817" s="8"/>
      <c r="J817" s="8"/>
    </row>
    <row r="818">
      <c r="A818" s="8"/>
      <c r="B818" s="8" t="str">
        <f>IF(ISBLANK(A818),"",VLOOKUP(A818,DOI_URL!$B$1:$C$74,2,FALSE()))</f>
        <v/>
      </c>
      <c r="C818" s="8"/>
      <c r="D818" s="8"/>
      <c r="I818" s="8"/>
      <c r="J818" s="8"/>
    </row>
    <row r="819">
      <c r="A819" s="8"/>
      <c r="B819" s="8" t="str">
        <f>IF(ISBLANK(A819),"",VLOOKUP(A819,DOI_URL!$B$1:$C$74,2,FALSE()))</f>
        <v/>
      </c>
      <c r="C819" s="8"/>
      <c r="D819" s="8"/>
      <c r="I819" s="8"/>
      <c r="J819" s="8"/>
    </row>
    <row r="820">
      <c r="A820" s="8"/>
      <c r="B820" s="8" t="str">
        <f>IF(ISBLANK(A820),"",VLOOKUP(A820,DOI_URL!$B$1:$C$74,2,FALSE()))</f>
        <v/>
      </c>
      <c r="C820" s="8"/>
      <c r="D820" s="8"/>
      <c r="I820" s="8"/>
      <c r="J820" s="8"/>
    </row>
    <row r="821">
      <c r="A821" s="8"/>
      <c r="B821" s="8" t="str">
        <f>IF(ISBLANK(A821),"",VLOOKUP(A821,DOI_URL!$B$1:$C$74,2,FALSE()))</f>
        <v/>
      </c>
      <c r="C821" s="8"/>
      <c r="D821" s="8"/>
      <c r="I821" s="8"/>
      <c r="J821" s="8"/>
    </row>
    <row r="822">
      <c r="A822" s="8"/>
      <c r="B822" s="8" t="str">
        <f>IF(ISBLANK(A822),"",VLOOKUP(A822,DOI_URL!$B$1:$C$74,2,FALSE()))</f>
        <v/>
      </c>
      <c r="C822" s="8"/>
      <c r="D822" s="8"/>
      <c r="I822" s="8"/>
      <c r="J822" s="8"/>
    </row>
    <row r="823">
      <c r="A823" s="8"/>
      <c r="B823" s="8" t="str">
        <f>IF(ISBLANK(A823),"",VLOOKUP(A823,DOI_URL!$B$1:$C$74,2,FALSE()))</f>
        <v/>
      </c>
      <c r="C823" s="8"/>
      <c r="D823" s="8"/>
      <c r="I823" s="8"/>
      <c r="J823" s="8"/>
    </row>
    <row r="824">
      <c r="A824" s="8"/>
      <c r="B824" s="8" t="str">
        <f>IF(ISBLANK(A824),"",VLOOKUP(A824,DOI_URL!$B$1:$C$74,2,FALSE()))</f>
        <v/>
      </c>
      <c r="C824" s="8"/>
      <c r="D824" s="8"/>
      <c r="I824" s="8"/>
      <c r="J824" s="8"/>
    </row>
    <row r="825">
      <c r="A825" s="8"/>
      <c r="B825" s="8" t="str">
        <f>IF(ISBLANK(A825),"",VLOOKUP(A825,DOI_URL!$B$1:$C$74,2,FALSE()))</f>
        <v/>
      </c>
      <c r="C825" s="8"/>
      <c r="D825" s="8"/>
      <c r="I825" s="8"/>
      <c r="J825" s="8"/>
    </row>
    <row r="826">
      <c r="A826" s="8"/>
      <c r="B826" s="8" t="str">
        <f>IF(ISBLANK(A826),"",VLOOKUP(A826,DOI_URL!$B$1:$C$74,2,FALSE()))</f>
        <v/>
      </c>
      <c r="C826" s="8"/>
      <c r="D826" s="8"/>
      <c r="I826" s="8"/>
      <c r="J826" s="8"/>
    </row>
    <row r="827">
      <c r="A827" s="8"/>
      <c r="B827" s="8" t="str">
        <f>IF(ISBLANK(A827),"",VLOOKUP(A827,DOI_URL!$B$1:$C$74,2,FALSE()))</f>
        <v/>
      </c>
      <c r="C827" s="8"/>
      <c r="D827" s="8"/>
      <c r="I827" s="8"/>
      <c r="J827" s="8"/>
    </row>
    <row r="828">
      <c r="A828" s="8"/>
      <c r="B828" s="8" t="str">
        <f>IF(ISBLANK(A828),"",VLOOKUP(A828,DOI_URL!$B$1:$C$74,2,FALSE()))</f>
        <v/>
      </c>
      <c r="C828" s="8"/>
      <c r="D828" s="8"/>
      <c r="I828" s="8"/>
      <c r="J828" s="8"/>
    </row>
    <row r="829">
      <c r="A829" s="8"/>
      <c r="B829" s="8" t="str">
        <f>IF(ISBLANK(A829),"",VLOOKUP(A829,DOI_URL!$B$1:$C$74,2,FALSE()))</f>
        <v/>
      </c>
      <c r="C829" s="8"/>
      <c r="D829" s="8"/>
      <c r="I829" s="8"/>
      <c r="J829" s="8"/>
    </row>
    <row r="830">
      <c r="A830" s="8"/>
      <c r="B830" s="8" t="str">
        <f>IF(ISBLANK(A830),"",VLOOKUP(A830,DOI_URL!$B$1:$C$74,2,FALSE()))</f>
        <v/>
      </c>
      <c r="C830" s="8"/>
      <c r="D830" s="8"/>
      <c r="I830" s="8"/>
      <c r="J830" s="8"/>
    </row>
    <row r="831">
      <c r="A831" s="8"/>
      <c r="B831" s="8" t="str">
        <f>IF(ISBLANK(A831),"",VLOOKUP(A831,DOI_URL!$B$1:$C$74,2,FALSE()))</f>
        <v/>
      </c>
      <c r="C831" s="8"/>
      <c r="D831" s="8"/>
      <c r="I831" s="8"/>
      <c r="J831" s="8"/>
    </row>
    <row r="832">
      <c r="A832" s="8"/>
      <c r="B832" s="8" t="str">
        <f>IF(ISBLANK(A832),"",VLOOKUP(A832,DOI_URL!$B$1:$C$74,2,FALSE()))</f>
        <v/>
      </c>
      <c r="C832" s="8"/>
      <c r="D832" s="8"/>
      <c r="I832" s="8"/>
      <c r="J832" s="8"/>
    </row>
    <row r="833">
      <c r="A833" s="8"/>
      <c r="B833" s="8" t="str">
        <f>IF(ISBLANK(A833),"",VLOOKUP(A833,DOI_URL!$B$1:$C$74,2,FALSE()))</f>
        <v/>
      </c>
      <c r="C833" s="8"/>
      <c r="D833" s="8"/>
      <c r="I833" s="8"/>
      <c r="J833" s="8"/>
    </row>
    <row r="834">
      <c r="A834" s="8"/>
      <c r="B834" s="8" t="str">
        <f>IF(ISBLANK(A834),"",VLOOKUP(A834,DOI_URL!$B$1:$C$74,2,FALSE()))</f>
        <v/>
      </c>
      <c r="C834" s="8"/>
      <c r="D834" s="8"/>
      <c r="I834" s="8"/>
      <c r="J834" s="8"/>
    </row>
    <row r="835">
      <c r="A835" s="8"/>
      <c r="B835" s="8" t="str">
        <f>IF(ISBLANK(A835),"",VLOOKUP(A835,DOI_URL!$B$1:$C$74,2,FALSE()))</f>
        <v/>
      </c>
      <c r="C835" s="8"/>
      <c r="D835" s="8"/>
      <c r="I835" s="8"/>
      <c r="J835" s="8"/>
    </row>
    <row r="836">
      <c r="A836" s="8"/>
      <c r="B836" s="8" t="str">
        <f>IF(ISBLANK(A836),"",VLOOKUP(A836,DOI_URL!$B$1:$C$74,2,FALSE()))</f>
        <v/>
      </c>
      <c r="C836" s="8"/>
      <c r="D836" s="8"/>
      <c r="I836" s="8"/>
      <c r="J836" s="8"/>
    </row>
    <row r="837">
      <c r="A837" s="8"/>
      <c r="B837" s="8" t="str">
        <f>IF(ISBLANK(A837),"",VLOOKUP(A837,DOI_URL!$B$1:$C$74,2,FALSE()))</f>
        <v/>
      </c>
      <c r="C837" s="8"/>
      <c r="D837" s="8"/>
      <c r="I837" s="8"/>
      <c r="J837" s="8"/>
    </row>
    <row r="838">
      <c r="A838" s="8"/>
      <c r="B838" s="8" t="str">
        <f>IF(ISBLANK(A838),"",VLOOKUP(A838,DOI_URL!$B$1:$C$74,2,FALSE()))</f>
        <v/>
      </c>
      <c r="C838" s="8"/>
      <c r="D838" s="8"/>
      <c r="I838" s="8"/>
      <c r="J838" s="8"/>
    </row>
    <row r="839">
      <c r="A839" s="8"/>
      <c r="B839" s="8" t="str">
        <f>IF(ISBLANK(A839),"",VLOOKUP(A839,DOI_URL!$B$1:$C$74,2,FALSE()))</f>
        <v/>
      </c>
      <c r="C839" s="8"/>
      <c r="D839" s="8"/>
      <c r="I839" s="8"/>
      <c r="J839" s="8"/>
    </row>
    <row r="840">
      <c r="A840" s="8"/>
      <c r="B840" s="8" t="str">
        <f>IF(ISBLANK(A840),"",VLOOKUP(A840,DOI_URL!$B$1:$C$74,2,FALSE()))</f>
        <v/>
      </c>
      <c r="C840" s="8"/>
      <c r="D840" s="8"/>
      <c r="I840" s="8"/>
      <c r="J840" s="8"/>
    </row>
    <row r="841">
      <c r="A841" s="8"/>
      <c r="B841" s="8" t="str">
        <f>IF(ISBLANK(A841),"",VLOOKUP(A841,DOI_URL!$B$1:$C$74,2,FALSE()))</f>
        <v/>
      </c>
      <c r="C841" s="8"/>
      <c r="D841" s="8"/>
      <c r="I841" s="8"/>
      <c r="J841" s="8"/>
    </row>
    <row r="842">
      <c r="A842" s="8"/>
      <c r="B842" s="8" t="str">
        <f>IF(ISBLANK(A842),"",VLOOKUP(A842,DOI_URL!$B$1:$C$74,2,FALSE()))</f>
        <v/>
      </c>
      <c r="C842" s="8"/>
      <c r="D842" s="8"/>
      <c r="I842" s="8"/>
      <c r="J842" s="8"/>
    </row>
    <row r="843">
      <c r="A843" s="8"/>
      <c r="B843" s="8" t="str">
        <f>IF(ISBLANK(A843),"",VLOOKUP(A843,DOI_URL!$B$1:$C$74,2,FALSE()))</f>
        <v/>
      </c>
      <c r="C843" s="8"/>
      <c r="D843" s="8"/>
      <c r="I843" s="8"/>
      <c r="J843" s="8"/>
    </row>
    <row r="844">
      <c r="A844" s="8"/>
      <c r="B844" s="8" t="str">
        <f>IF(ISBLANK(A844),"",VLOOKUP(A844,DOI_URL!$B$1:$C$74,2,FALSE()))</f>
        <v/>
      </c>
      <c r="C844" s="8"/>
      <c r="D844" s="8"/>
      <c r="I844" s="8"/>
      <c r="J844" s="8"/>
    </row>
    <row r="845">
      <c r="A845" s="8"/>
      <c r="B845" s="8" t="str">
        <f>IF(ISBLANK(A845),"",VLOOKUP(A845,DOI_URL!$B$1:$C$74,2,FALSE()))</f>
        <v/>
      </c>
      <c r="C845" s="8"/>
      <c r="D845" s="8"/>
      <c r="I845" s="8"/>
      <c r="J845" s="8"/>
    </row>
    <row r="846">
      <c r="A846" s="8"/>
      <c r="B846" s="8" t="str">
        <f>IF(ISBLANK(A846),"",VLOOKUP(A846,DOI_URL!$B$1:$C$74,2,FALSE()))</f>
        <v/>
      </c>
      <c r="C846" s="8"/>
      <c r="D846" s="8"/>
      <c r="I846" s="8"/>
      <c r="J846" s="8"/>
    </row>
    <row r="847">
      <c r="A847" s="8"/>
      <c r="B847" s="8" t="str">
        <f>IF(ISBLANK(A847),"",VLOOKUP(A847,DOI_URL!$B$1:$C$74,2,FALSE()))</f>
        <v/>
      </c>
      <c r="C847" s="8"/>
      <c r="D847" s="8"/>
      <c r="I847" s="8"/>
      <c r="J847" s="8"/>
    </row>
    <row r="848">
      <c r="A848" s="8"/>
      <c r="B848" s="8" t="str">
        <f>IF(ISBLANK(A848),"",VLOOKUP(A848,DOI_URL!$B$1:$C$74,2,FALSE()))</f>
        <v/>
      </c>
      <c r="C848" s="8"/>
      <c r="D848" s="8"/>
      <c r="I848" s="8"/>
      <c r="J848" s="8"/>
    </row>
    <row r="849">
      <c r="A849" s="8"/>
      <c r="B849" s="8" t="str">
        <f>IF(ISBLANK(A849),"",VLOOKUP(A849,DOI_URL!$B$1:$C$74,2,FALSE()))</f>
        <v/>
      </c>
      <c r="C849" s="8"/>
      <c r="D849" s="8"/>
      <c r="I849" s="8"/>
      <c r="J849" s="8"/>
    </row>
    <row r="850">
      <c r="A850" s="8"/>
      <c r="B850" s="8" t="str">
        <f>IF(ISBLANK(A850),"",VLOOKUP(A850,DOI_URL!$B$1:$C$74,2,FALSE()))</f>
        <v/>
      </c>
      <c r="C850" s="8"/>
      <c r="D850" s="8"/>
      <c r="I850" s="8"/>
      <c r="J850" s="8"/>
    </row>
    <row r="851">
      <c r="A851" s="8"/>
      <c r="B851" s="8" t="str">
        <f>IF(ISBLANK(A851),"",VLOOKUP(A851,DOI_URL!$B$1:$C$74,2,FALSE()))</f>
        <v/>
      </c>
      <c r="C851" s="8"/>
      <c r="D851" s="8"/>
      <c r="I851" s="8"/>
      <c r="J851" s="8"/>
    </row>
    <row r="852">
      <c r="A852" s="8"/>
      <c r="B852" s="8" t="str">
        <f>IF(ISBLANK(A852),"",VLOOKUP(A852,DOI_URL!$B$1:$C$74,2,FALSE()))</f>
        <v/>
      </c>
      <c r="C852" s="8"/>
      <c r="D852" s="8"/>
      <c r="I852" s="8"/>
      <c r="J852" s="8"/>
    </row>
    <row r="853">
      <c r="A853" s="8"/>
      <c r="B853" s="8" t="str">
        <f>IF(ISBLANK(A853),"",VLOOKUP(A853,DOI_URL!$B$1:$C$74,2,FALSE()))</f>
        <v/>
      </c>
      <c r="C853" s="8"/>
      <c r="D853" s="8"/>
      <c r="I853" s="8"/>
      <c r="J853" s="8"/>
    </row>
    <row r="854">
      <c r="A854" s="8"/>
      <c r="B854" s="8" t="str">
        <f>IF(ISBLANK(A854),"",VLOOKUP(A854,DOI_URL!$B$1:$C$74,2,FALSE()))</f>
        <v/>
      </c>
      <c r="C854" s="8"/>
      <c r="D854" s="8"/>
      <c r="I854" s="8"/>
      <c r="J854" s="8"/>
    </row>
    <row r="855">
      <c r="A855" s="8"/>
      <c r="B855" s="8" t="str">
        <f>IF(ISBLANK(A855),"",VLOOKUP(A855,DOI_URL!$B$1:$C$74,2,FALSE()))</f>
        <v/>
      </c>
      <c r="C855" s="8"/>
      <c r="D855" s="8"/>
      <c r="I855" s="8"/>
      <c r="J855" s="8"/>
    </row>
    <row r="856">
      <c r="A856" s="8"/>
      <c r="B856" s="8" t="str">
        <f>IF(ISBLANK(A856),"",VLOOKUP(A856,DOI_URL!$B$1:$C$74,2,FALSE()))</f>
        <v/>
      </c>
      <c r="C856" s="8"/>
      <c r="D856" s="8"/>
      <c r="I856" s="8"/>
      <c r="J856" s="8"/>
    </row>
    <row r="857">
      <c r="A857" s="8"/>
      <c r="B857" s="8" t="str">
        <f>IF(ISBLANK(A857),"",VLOOKUP(A857,DOI_URL!$B$1:$C$74,2,FALSE()))</f>
        <v/>
      </c>
      <c r="C857" s="8"/>
      <c r="D857" s="8"/>
      <c r="I857" s="8"/>
      <c r="J857" s="8"/>
    </row>
    <row r="858">
      <c r="A858" s="8"/>
      <c r="B858" s="8" t="str">
        <f>IF(ISBLANK(A858),"",VLOOKUP(A858,DOI_URL!$B$1:$C$74,2,FALSE()))</f>
        <v/>
      </c>
      <c r="C858" s="8"/>
      <c r="D858" s="8"/>
      <c r="I858" s="8"/>
      <c r="J858" s="8"/>
    </row>
    <row r="859">
      <c r="A859" s="8"/>
      <c r="B859" s="8" t="str">
        <f>IF(ISBLANK(A859),"",VLOOKUP(A859,DOI_URL!$B$1:$C$74,2,FALSE()))</f>
        <v/>
      </c>
      <c r="C859" s="8"/>
      <c r="D859" s="8"/>
      <c r="I859" s="8"/>
      <c r="J859" s="8"/>
    </row>
    <row r="860">
      <c r="A860" s="8"/>
      <c r="B860" s="8" t="str">
        <f>IF(ISBLANK(A860),"",VLOOKUP(A860,DOI_URL!$B$1:$C$74,2,FALSE()))</f>
        <v/>
      </c>
      <c r="C860" s="8"/>
      <c r="D860" s="8"/>
      <c r="I860" s="8"/>
      <c r="J860" s="8"/>
    </row>
    <row r="861">
      <c r="A861" s="8"/>
      <c r="B861" s="8" t="str">
        <f>IF(ISBLANK(A861),"",VLOOKUP(A861,DOI_URL!$B$1:$C$74,2,FALSE()))</f>
        <v/>
      </c>
      <c r="C861" s="8"/>
      <c r="D861" s="8"/>
      <c r="I861" s="8"/>
      <c r="J861" s="8"/>
    </row>
    <row r="862">
      <c r="A862" s="8"/>
      <c r="B862" s="8" t="str">
        <f>IF(ISBLANK(A862),"",VLOOKUP(A862,DOI_URL!$B$1:$C$74,2,FALSE()))</f>
        <v/>
      </c>
      <c r="C862" s="8"/>
      <c r="D862" s="8"/>
      <c r="I862" s="8"/>
      <c r="J862" s="8"/>
    </row>
    <row r="863">
      <c r="A863" s="8"/>
      <c r="B863" s="8" t="str">
        <f>IF(ISBLANK(A863),"",VLOOKUP(A863,DOI_URL!$B$1:$C$74,2,FALSE()))</f>
        <v/>
      </c>
      <c r="C863" s="8"/>
      <c r="D863" s="8"/>
      <c r="I863" s="8"/>
      <c r="J863" s="8"/>
    </row>
    <row r="864">
      <c r="A864" s="8"/>
      <c r="B864" s="8" t="str">
        <f>IF(ISBLANK(A864),"",VLOOKUP(A864,DOI_URL!$B$1:$C$74,2,FALSE()))</f>
        <v/>
      </c>
      <c r="C864" s="8"/>
      <c r="D864" s="8"/>
      <c r="I864" s="8"/>
      <c r="J864" s="8"/>
    </row>
    <row r="865">
      <c r="A865" s="8"/>
      <c r="B865" s="8" t="str">
        <f>IF(ISBLANK(A865),"",VLOOKUP(A865,DOI_URL!$B$1:$C$74,2,FALSE()))</f>
        <v/>
      </c>
      <c r="C865" s="8"/>
      <c r="D865" s="8"/>
      <c r="I865" s="8"/>
      <c r="J865" s="8"/>
    </row>
    <row r="866">
      <c r="A866" s="8"/>
      <c r="B866" s="8" t="str">
        <f>IF(ISBLANK(A866),"",VLOOKUP(A866,DOI_URL!$B$1:$C$74,2,FALSE()))</f>
        <v/>
      </c>
      <c r="C866" s="8"/>
      <c r="D866" s="8"/>
      <c r="I866" s="8"/>
      <c r="J866" s="8"/>
    </row>
    <row r="867">
      <c r="A867" s="8"/>
      <c r="B867" s="8" t="str">
        <f>IF(ISBLANK(A867),"",VLOOKUP(A867,DOI_URL!$B$1:$C$74,2,FALSE()))</f>
        <v/>
      </c>
      <c r="C867" s="8"/>
      <c r="D867" s="8"/>
      <c r="I867" s="8"/>
      <c r="J867" s="8"/>
    </row>
    <row r="868">
      <c r="A868" s="8"/>
      <c r="B868" s="8" t="str">
        <f>IF(ISBLANK(A868),"",VLOOKUP(A868,DOI_URL!$B$1:$C$74,2,FALSE()))</f>
        <v/>
      </c>
      <c r="C868" s="8"/>
      <c r="D868" s="8"/>
      <c r="I868" s="8"/>
      <c r="J868" s="8"/>
    </row>
    <row r="869">
      <c r="A869" s="8"/>
      <c r="B869" s="8" t="str">
        <f>IF(ISBLANK(A869),"",VLOOKUP(A869,DOI_URL!$B$1:$C$74,2,FALSE()))</f>
        <v/>
      </c>
      <c r="C869" s="8"/>
      <c r="D869" s="8"/>
      <c r="I869" s="8"/>
      <c r="J869" s="8"/>
    </row>
    <row r="870">
      <c r="A870" s="8"/>
      <c r="B870" s="8" t="str">
        <f>IF(ISBLANK(A870),"",VLOOKUP(A870,DOI_URL!$B$1:$C$74,2,FALSE()))</f>
        <v/>
      </c>
      <c r="C870" s="8"/>
      <c r="D870" s="8"/>
      <c r="I870" s="8"/>
      <c r="J870" s="8"/>
    </row>
    <row r="871">
      <c r="A871" s="8"/>
      <c r="B871" s="8" t="str">
        <f>IF(ISBLANK(A871),"",VLOOKUP(A871,DOI_URL!$B$1:$C$74,2,FALSE()))</f>
        <v/>
      </c>
      <c r="C871" s="8"/>
      <c r="D871" s="8"/>
      <c r="I871" s="8"/>
      <c r="J871" s="8"/>
    </row>
    <row r="872">
      <c r="A872" s="8"/>
      <c r="B872" s="8" t="str">
        <f>IF(ISBLANK(A872),"",VLOOKUP(A872,DOI_URL!$B$1:$C$74,2,FALSE()))</f>
        <v/>
      </c>
      <c r="C872" s="8"/>
      <c r="D872" s="8"/>
      <c r="I872" s="8"/>
      <c r="J872" s="8"/>
    </row>
    <row r="873">
      <c r="A873" s="8"/>
      <c r="B873" s="8" t="str">
        <f>IF(ISBLANK(A873),"",VLOOKUP(A873,DOI_URL!$B$1:$C$74,2,FALSE()))</f>
        <v/>
      </c>
      <c r="C873" s="8"/>
      <c r="D873" s="8"/>
      <c r="I873" s="8"/>
      <c r="J873" s="8"/>
    </row>
    <row r="874">
      <c r="A874" s="8"/>
      <c r="B874" s="8" t="str">
        <f>IF(ISBLANK(A874),"",VLOOKUP(A874,DOI_URL!$B$1:$C$74,2,FALSE()))</f>
        <v/>
      </c>
      <c r="C874" s="8"/>
      <c r="D874" s="8"/>
      <c r="I874" s="8"/>
      <c r="J874" s="8"/>
    </row>
    <row r="875">
      <c r="A875" s="8"/>
      <c r="B875" s="8" t="str">
        <f>IF(ISBLANK(A875),"",VLOOKUP(A875,DOI_URL!$B$1:$C$74,2,FALSE()))</f>
        <v/>
      </c>
      <c r="C875" s="8"/>
      <c r="D875" s="8"/>
      <c r="I875" s="8"/>
      <c r="J875" s="8"/>
    </row>
    <row r="876">
      <c r="A876" s="8"/>
      <c r="B876" s="8" t="str">
        <f>IF(ISBLANK(A876),"",VLOOKUP(A876,DOI_URL!$B$1:$C$74,2,FALSE()))</f>
        <v/>
      </c>
      <c r="C876" s="8"/>
      <c r="D876" s="8"/>
      <c r="I876" s="8"/>
      <c r="J876" s="8"/>
    </row>
    <row r="877">
      <c r="A877" s="8"/>
      <c r="B877" s="8" t="str">
        <f>IF(ISBLANK(A877),"",VLOOKUP(A877,DOI_URL!$B$1:$C$74,2,FALSE()))</f>
        <v/>
      </c>
      <c r="C877" s="8"/>
      <c r="D877" s="8"/>
      <c r="I877" s="8"/>
      <c r="J877" s="8"/>
    </row>
    <row r="878">
      <c r="A878" s="8"/>
      <c r="B878" s="8" t="str">
        <f>IF(ISBLANK(A878),"",VLOOKUP(A878,DOI_URL!$B$1:$C$74,2,FALSE()))</f>
        <v/>
      </c>
      <c r="C878" s="8"/>
      <c r="D878" s="8"/>
      <c r="I878" s="8"/>
      <c r="J878" s="8"/>
    </row>
    <row r="879">
      <c r="A879" s="8"/>
      <c r="B879" s="8" t="str">
        <f>IF(ISBLANK(A879),"",VLOOKUP(A879,DOI_URL!$B$1:$C$74,2,FALSE()))</f>
        <v/>
      </c>
      <c r="C879" s="8"/>
      <c r="D879" s="8"/>
      <c r="I879" s="8"/>
      <c r="J879" s="8"/>
    </row>
    <row r="880">
      <c r="A880" s="8"/>
      <c r="B880" s="8" t="str">
        <f>IF(ISBLANK(A880),"",VLOOKUP(A880,DOI_URL!$B$1:$C$74,2,FALSE()))</f>
        <v/>
      </c>
      <c r="C880" s="8"/>
      <c r="D880" s="8"/>
      <c r="I880" s="8"/>
      <c r="J880" s="8"/>
    </row>
    <row r="881">
      <c r="A881" s="8"/>
      <c r="B881" s="8" t="str">
        <f>IF(ISBLANK(A881),"",VLOOKUP(A881,DOI_URL!$B$1:$C$74,2,FALSE()))</f>
        <v/>
      </c>
      <c r="C881" s="8"/>
      <c r="D881" s="8"/>
      <c r="I881" s="8"/>
      <c r="J881" s="8"/>
    </row>
    <row r="882">
      <c r="A882" s="8"/>
      <c r="B882" s="8" t="str">
        <f>IF(ISBLANK(A882),"",VLOOKUP(A882,DOI_URL!$B$1:$C$74,2,FALSE()))</f>
        <v/>
      </c>
      <c r="C882" s="8"/>
      <c r="D882" s="8"/>
      <c r="I882" s="8"/>
      <c r="J882" s="8"/>
    </row>
    <row r="883">
      <c r="A883" s="8"/>
      <c r="B883" s="8" t="str">
        <f>IF(ISBLANK(A883),"",VLOOKUP(A883,DOI_URL!$B$1:$C$74,2,FALSE()))</f>
        <v/>
      </c>
      <c r="C883" s="8"/>
      <c r="D883" s="8"/>
      <c r="I883" s="8"/>
      <c r="J883" s="8"/>
    </row>
    <row r="884">
      <c r="A884" s="8"/>
      <c r="B884" s="8" t="str">
        <f>IF(ISBLANK(A884),"",VLOOKUP(A884,DOI_URL!$B$1:$C$74,2,FALSE()))</f>
        <v/>
      </c>
      <c r="C884" s="8"/>
      <c r="D884" s="8"/>
      <c r="I884" s="8"/>
      <c r="J884" s="8"/>
    </row>
    <row r="885">
      <c r="A885" s="8"/>
      <c r="B885" s="8" t="str">
        <f>IF(ISBLANK(A885),"",VLOOKUP(A885,DOI_URL!$B$1:$C$74,2,FALSE()))</f>
        <v/>
      </c>
      <c r="C885" s="8"/>
      <c r="D885" s="8"/>
      <c r="I885" s="8"/>
      <c r="J885" s="8"/>
    </row>
    <row r="886">
      <c r="A886" s="8"/>
      <c r="B886" s="8" t="str">
        <f>IF(ISBLANK(A886),"",VLOOKUP(A886,DOI_URL!$B$1:$C$74,2,FALSE()))</f>
        <v/>
      </c>
      <c r="C886" s="8"/>
      <c r="D886" s="8"/>
      <c r="I886" s="8"/>
      <c r="J886" s="8"/>
    </row>
    <row r="887">
      <c r="A887" s="8"/>
      <c r="B887" s="8" t="str">
        <f>IF(ISBLANK(A887),"",VLOOKUP(A887,DOI_URL!$B$1:$C$74,2,FALSE()))</f>
        <v/>
      </c>
      <c r="C887" s="8"/>
      <c r="D887" s="8"/>
      <c r="I887" s="8"/>
      <c r="J887" s="8"/>
    </row>
    <row r="888">
      <c r="A888" s="8"/>
      <c r="B888" s="8" t="str">
        <f>IF(ISBLANK(A888),"",VLOOKUP(A888,DOI_URL!$B$1:$C$74,2,FALSE()))</f>
        <v/>
      </c>
      <c r="C888" s="8"/>
      <c r="D888" s="8"/>
      <c r="I888" s="8"/>
      <c r="J888" s="8"/>
    </row>
    <row r="889">
      <c r="A889" s="8"/>
      <c r="B889" s="8" t="str">
        <f>IF(ISBLANK(A889),"",VLOOKUP(A889,DOI_URL!$B$1:$C$74,2,FALSE()))</f>
        <v/>
      </c>
      <c r="C889" s="8"/>
      <c r="D889" s="8"/>
      <c r="I889" s="8"/>
      <c r="J889" s="8"/>
    </row>
    <row r="890">
      <c r="A890" s="8"/>
      <c r="B890" s="8" t="str">
        <f>IF(ISBLANK(A890),"",VLOOKUP(A890,DOI_URL!$B$1:$C$74,2,FALSE()))</f>
        <v/>
      </c>
      <c r="C890" s="8"/>
      <c r="D890" s="8"/>
      <c r="I890" s="8"/>
      <c r="J890" s="8"/>
    </row>
    <row r="891">
      <c r="A891" s="8"/>
      <c r="B891" s="8" t="str">
        <f>IF(ISBLANK(A891),"",VLOOKUP(A891,DOI_URL!$B$1:$C$74,2,FALSE()))</f>
        <v/>
      </c>
      <c r="C891" s="8"/>
      <c r="D891" s="8"/>
      <c r="I891" s="8"/>
      <c r="J891" s="8"/>
    </row>
    <row r="892">
      <c r="A892" s="8"/>
      <c r="B892" s="8" t="str">
        <f>IF(ISBLANK(A892),"",VLOOKUP(A892,DOI_URL!$B$1:$C$74,2,FALSE()))</f>
        <v/>
      </c>
      <c r="C892" s="8"/>
      <c r="D892" s="8"/>
      <c r="I892" s="8"/>
      <c r="J892" s="8"/>
    </row>
    <row r="893">
      <c r="A893" s="8"/>
      <c r="B893" s="8" t="str">
        <f>IF(ISBLANK(A893),"",VLOOKUP(A893,DOI_URL!$B$1:$C$74,2,FALSE()))</f>
        <v/>
      </c>
      <c r="C893" s="8"/>
      <c r="D893" s="8"/>
      <c r="I893" s="8"/>
      <c r="J893" s="8"/>
    </row>
    <row r="894">
      <c r="A894" s="8"/>
      <c r="B894" s="8" t="str">
        <f>IF(ISBLANK(A894),"",VLOOKUP(A894,DOI_URL!$B$1:$C$74,2,FALSE()))</f>
        <v/>
      </c>
      <c r="C894" s="8"/>
      <c r="D894" s="8"/>
      <c r="I894" s="8"/>
      <c r="J894" s="8"/>
    </row>
    <row r="895">
      <c r="A895" s="8"/>
      <c r="B895" s="8" t="str">
        <f>IF(ISBLANK(A895),"",VLOOKUP(A895,DOI_URL!$B$1:$C$74,2,FALSE()))</f>
        <v/>
      </c>
      <c r="C895" s="8"/>
      <c r="D895" s="8"/>
      <c r="I895" s="8"/>
      <c r="J895" s="8"/>
    </row>
    <row r="896">
      <c r="A896" s="8"/>
      <c r="B896" s="8" t="str">
        <f>IF(ISBLANK(A896),"",VLOOKUP(A896,DOI_URL!$B$1:$C$74,2,FALSE()))</f>
        <v/>
      </c>
      <c r="C896" s="8"/>
      <c r="D896" s="8"/>
      <c r="I896" s="8"/>
      <c r="J896" s="8"/>
    </row>
    <row r="897">
      <c r="A897" s="8"/>
      <c r="B897" s="8" t="str">
        <f>IF(ISBLANK(A897),"",VLOOKUP(A897,DOI_URL!$B$1:$C$74,2,FALSE()))</f>
        <v/>
      </c>
      <c r="C897" s="8"/>
      <c r="D897" s="8"/>
      <c r="I897" s="8"/>
      <c r="J897" s="8"/>
    </row>
    <row r="898">
      <c r="A898" s="8"/>
      <c r="B898" s="8" t="str">
        <f>IF(ISBLANK(A898),"",VLOOKUP(A898,DOI_URL!$B$1:$C$74,2,FALSE()))</f>
        <v/>
      </c>
      <c r="C898" s="8"/>
      <c r="D898" s="8"/>
      <c r="I898" s="8"/>
      <c r="J898" s="8"/>
    </row>
    <row r="899">
      <c r="A899" s="8"/>
      <c r="B899" s="8" t="str">
        <f>IF(ISBLANK(A899),"",VLOOKUP(A899,DOI_URL!$B$1:$C$74,2,FALSE()))</f>
        <v/>
      </c>
      <c r="C899" s="8"/>
      <c r="D899" s="8"/>
      <c r="I899" s="8"/>
      <c r="J899" s="8"/>
    </row>
    <row r="900">
      <c r="A900" s="8"/>
      <c r="B900" s="8" t="str">
        <f>IF(ISBLANK(A900),"",VLOOKUP(A900,DOI_URL!$B$1:$C$74,2,FALSE()))</f>
        <v/>
      </c>
      <c r="C900" s="8"/>
      <c r="D900" s="8"/>
      <c r="I900" s="8"/>
      <c r="J900" s="8"/>
    </row>
    <row r="901">
      <c r="A901" s="8"/>
      <c r="B901" s="8" t="str">
        <f>IF(ISBLANK(A901),"",VLOOKUP(A901,DOI_URL!$B$1:$C$74,2,FALSE()))</f>
        <v/>
      </c>
      <c r="C901" s="8"/>
      <c r="D901" s="8"/>
      <c r="I901" s="8"/>
      <c r="J901" s="8"/>
    </row>
    <row r="902">
      <c r="A902" s="8"/>
      <c r="B902" s="8" t="str">
        <f>IF(ISBLANK(A902),"",VLOOKUP(A902,DOI_URL!$B$1:$C$74,2,FALSE()))</f>
        <v/>
      </c>
      <c r="C902" s="8"/>
      <c r="D902" s="8"/>
      <c r="I902" s="8"/>
      <c r="J902" s="8"/>
    </row>
    <row r="903">
      <c r="A903" s="8"/>
      <c r="B903" s="8" t="str">
        <f>IF(ISBLANK(A903),"",VLOOKUP(A903,DOI_URL!$B$1:$C$74,2,FALSE()))</f>
        <v/>
      </c>
      <c r="C903" s="8"/>
      <c r="D903" s="8"/>
      <c r="I903" s="8"/>
      <c r="J903" s="8"/>
    </row>
    <row r="904">
      <c r="A904" s="8"/>
      <c r="B904" s="8" t="str">
        <f>IF(ISBLANK(A904),"",VLOOKUP(A904,DOI_URL!$B$1:$C$74,2,FALSE()))</f>
        <v/>
      </c>
      <c r="C904" s="8"/>
      <c r="D904" s="8"/>
      <c r="I904" s="8"/>
      <c r="J904" s="8"/>
    </row>
    <row r="905">
      <c r="A905" s="8"/>
      <c r="B905" s="8" t="str">
        <f>IF(ISBLANK(A905),"",VLOOKUP(A905,DOI_URL!$B$1:$C$74,2,FALSE()))</f>
        <v/>
      </c>
      <c r="C905" s="8"/>
      <c r="D905" s="8"/>
      <c r="I905" s="8"/>
      <c r="J905" s="8"/>
    </row>
    <row r="906">
      <c r="A906" s="8"/>
      <c r="B906" s="8" t="str">
        <f>IF(ISBLANK(A906),"",VLOOKUP(A906,DOI_URL!$B$1:$C$74,2,FALSE()))</f>
        <v/>
      </c>
      <c r="C906" s="8"/>
      <c r="D906" s="8"/>
      <c r="I906" s="8"/>
      <c r="J906" s="8"/>
    </row>
    <row r="907">
      <c r="A907" s="8"/>
      <c r="B907" s="8" t="str">
        <f>IF(ISBLANK(A907),"",VLOOKUP(A907,DOI_URL!$B$1:$C$74,2,FALSE()))</f>
        <v/>
      </c>
      <c r="C907" s="8"/>
      <c r="D907" s="8"/>
      <c r="I907" s="8"/>
      <c r="J907" s="8"/>
    </row>
    <row r="908">
      <c r="A908" s="8"/>
      <c r="B908" s="8" t="str">
        <f>IF(ISBLANK(A908),"",VLOOKUP(A908,DOI_URL!$B$1:$C$74,2,FALSE()))</f>
        <v/>
      </c>
      <c r="C908" s="8"/>
      <c r="D908" s="8"/>
      <c r="I908" s="8"/>
      <c r="J908" s="8"/>
    </row>
    <row r="909">
      <c r="A909" s="8"/>
      <c r="B909" s="8" t="str">
        <f>IF(ISBLANK(A909),"",VLOOKUP(A909,DOI_URL!$B$1:$C$74,2,FALSE()))</f>
        <v/>
      </c>
      <c r="C909" s="8"/>
      <c r="D909" s="8"/>
      <c r="I909" s="8"/>
      <c r="J909" s="8"/>
    </row>
    <row r="910">
      <c r="A910" s="8"/>
      <c r="B910" s="8" t="str">
        <f>IF(ISBLANK(A910),"",VLOOKUP(A910,DOI_URL!$B$1:$C$74,2,FALSE()))</f>
        <v/>
      </c>
      <c r="C910" s="8"/>
      <c r="D910" s="8"/>
      <c r="I910" s="8"/>
      <c r="J910" s="8"/>
    </row>
    <row r="911">
      <c r="A911" s="8"/>
      <c r="B911" s="8" t="str">
        <f>IF(ISBLANK(A911),"",VLOOKUP(A911,DOI_URL!$B$1:$C$74,2,FALSE()))</f>
        <v/>
      </c>
      <c r="C911" s="8"/>
      <c r="D911" s="8"/>
      <c r="I911" s="8"/>
      <c r="J911" s="8"/>
    </row>
    <row r="912">
      <c r="A912" s="8"/>
      <c r="B912" s="8" t="str">
        <f>IF(ISBLANK(A912),"",VLOOKUP(A912,DOI_URL!$B$1:$C$74,2,FALSE()))</f>
        <v/>
      </c>
      <c r="C912" s="8"/>
      <c r="D912" s="8"/>
      <c r="I912" s="8"/>
      <c r="J912" s="8"/>
    </row>
    <row r="913">
      <c r="A913" s="8"/>
      <c r="B913" s="8" t="str">
        <f>IF(ISBLANK(A913),"",VLOOKUP(A913,DOI_URL!$B$1:$C$74,2,FALSE()))</f>
        <v/>
      </c>
      <c r="C913" s="8"/>
      <c r="D913" s="8"/>
      <c r="I913" s="8"/>
      <c r="J913" s="8"/>
    </row>
    <row r="914">
      <c r="A914" s="8"/>
      <c r="B914" s="8" t="str">
        <f>IF(ISBLANK(A914),"",VLOOKUP(A914,DOI_URL!$B$1:$C$74,2,FALSE()))</f>
        <v/>
      </c>
      <c r="C914" s="8"/>
      <c r="D914" s="8"/>
      <c r="I914" s="8"/>
      <c r="J914" s="8"/>
    </row>
    <row r="915">
      <c r="A915" s="8"/>
      <c r="B915" s="8" t="str">
        <f>IF(ISBLANK(A915),"",VLOOKUP(A915,DOI_URL!$B$1:$C$74,2,FALSE()))</f>
        <v/>
      </c>
      <c r="C915" s="8"/>
      <c r="D915" s="8"/>
      <c r="I915" s="8"/>
      <c r="J915" s="8"/>
    </row>
    <row r="916">
      <c r="A916" s="8"/>
      <c r="B916" s="8" t="str">
        <f>IF(ISBLANK(A916),"",VLOOKUP(A916,DOI_URL!$B$1:$C$74,2,FALSE()))</f>
        <v/>
      </c>
      <c r="C916" s="8"/>
      <c r="D916" s="8"/>
      <c r="I916" s="8"/>
      <c r="J916" s="8"/>
    </row>
    <row r="917">
      <c r="A917" s="8"/>
      <c r="B917" s="8" t="str">
        <f>IF(ISBLANK(A917),"",VLOOKUP(A917,DOI_URL!$B$1:$C$74,2,FALSE()))</f>
        <v/>
      </c>
      <c r="C917" s="8"/>
      <c r="D917" s="8"/>
      <c r="I917" s="8"/>
      <c r="J917" s="8"/>
    </row>
    <row r="918">
      <c r="A918" s="8"/>
      <c r="B918" s="8" t="str">
        <f>IF(ISBLANK(A918),"",VLOOKUP(A918,DOI_URL!$B$1:$C$74,2,FALSE()))</f>
        <v/>
      </c>
      <c r="C918" s="8"/>
      <c r="D918" s="8"/>
      <c r="I918" s="8"/>
      <c r="J918" s="8"/>
    </row>
    <row r="919">
      <c r="A919" s="8"/>
      <c r="B919" s="8" t="str">
        <f>IF(ISBLANK(A919),"",VLOOKUP(A919,DOI_URL!$B$1:$C$74,2,FALSE()))</f>
        <v/>
      </c>
      <c r="C919" s="8"/>
      <c r="D919" s="8"/>
      <c r="I919" s="8"/>
      <c r="J919" s="8"/>
    </row>
    <row r="920">
      <c r="A920" s="8"/>
      <c r="B920" s="8" t="str">
        <f>IF(ISBLANK(A920),"",VLOOKUP(A920,DOI_URL!$B$1:$C$74,2,FALSE()))</f>
        <v/>
      </c>
      <c r="C920" s="8"/>
      <c r="D920" s="8"/>
      <c r="I920" s="8"/>
      <c r="J920" s="8"/>
    </row>
    <row r="921">
      <c r="A921" s="8"/>
      <c r="B921" s="8" t="str">
        <f>IF(ISBLANK(A921),"",VLOOKUP(A921,DOI_URL!$B$1:$C$74,2,FALSE()))</f>
        <v/>
      </c>
      <c r="C921" s="8"/>
      <c r="D921" s="8"/>
      <c r="I921" s="8"/>
      <c r="J921" s="8"/>
    </row>
    <row r="922">
      <c r="A922" s="8"/>
      <c r="B922" s="8" t="str">
        <f>IF(ISBLANK(A922),"",VLOOKUP(A922,DOI_URL!$B$1:$C$74,2,FALSE()))</f>
        <v/>
      </c>
      <c r="C922" s="8"/>
      <c r="D922" s="8"/>
      <c r="I922" s="8"/>
      <c r="J922" s="8"/>
    </row>
    <row r="923">
      <c r="A923" s="8"/>
      <c r="B923" s="8" t="str">
        <f>IF(ISBLANK(A923),"",VLOOKUP(A923,DOI_URL!$B$1:$C$74,2,FALSE()))</f>
        <v/>
      </c>
      <c r="C923" s="8"/>
      <c r="D923" s="8"/>
      <c r="I923" s="8"/>
      <c r="J923" s="8"/>
    </row>
    <row r="924">
      <c r="A924" s="8"/>
      <c r="B924" s="8" t="str">
        <f>IF(ISBLANK(A924),"",VLOOKUP(A924,DOI_URL!$B$1:$C$74,2,FALSE()))</f>
        <v/>
      </c>
      <c r="C924" s="8"/>
      <c r="D924" s="8"/>
      <c r="I924" s="8"/>
      <c r="J924" s="8"/>
    </row>
    <row r="925">
      <c r="A925" s="8"/>
      <c r="B925" s="8" t="str">
        <f>IF(ISBLANK(A925),"",VLOOKUP(A925,DOI_URL!$B$1:$C$74,2,FALSE()))</f>
        <v/>
      </c>
      <c r="C925" s="8"/>
      <c r="D925" s="8"/>
      <c r="I925" s="8"/>
      <c r="J925" s="8"/>
    </row>
    <row r="926">
      <c r="A926" s="8"/>
      <c r="B926" s="8" t="str">
        <f>IF(ISBLANK(A926),"",VLOOKUP(A926,DOI_URL!$B$1:$C$74,2,FALSE()))</f>
        <v/>
      </c>
      <c r="C926" s="8"/>
      <c r="D926" s="8"/>
      <c r="I926" s="8"/>
      <c r="J926" s="8"/>
    </row>
    <row r="927">
      <c r="A927" s="8"/>
      <c r="B927" s="8" t="str">
        <f>IF(ISBLANK(A927),"",VLOOKUP(A927,DOI_URL!$B$1:$C$74,2,FALSE()))</f>
        <v/>
      </c>
      <c r="C927" s="8"/>
      <c r="D927" s="8"/>
      <c r="I927" s="8"/>
      <c r="J927" s="8"/>
    </row>
    <row r="928">
      <c r="A928" s="8"/>
      <c r="B928" s="8" t="str">
        <f>IF(ISBLANK(A928),"",VLOOKUP(A928,DOI_URL!$B$1:$C$74,2,FALSE()))</f>
        <v/>
      </c>
      <c r="C928" s="8"/>
      <c r="D928" s="8"/>
      <c r="I928" s="8"/>
      <c r="J928" s="8"/>
    </row>
    <row r="929">
      <c r="A929" s="8"/>
      <c r="B929" s="8" t="str">
        <f>IF(ISBLANK(A929),"",VLOOKUP(A929,DOI_URL!$B$1:$C$74,2,FALSE()))</f>
        <v/>
      </c>
      <c r="C929" s="8"/>
      <c r="D929" s="8"/>
      <c r="I929" s="8"/>
      <c r="J929" s="8"/>
    </row>
    <row r="930">
      <c r="A930" s="8"/>
      <c r="B930" s="8" t="str">
        <f>IF(ISBLANK(A930),"",VLOOKUP(A930,DOI_URL!$B$1:$C$74,2,FALSE()))</f>
        <v/>
      </c>
      <c r="C930" s="8"/>
      <c r="D930" s="8"/>
      <c r="I930" s="8"/>
      <c r="J930" s="8"/>
    </row>
    <row r="931">
      <c r="A931" s="8"/>
      <c r="B931" s="8" t="str">
        <f>IF(ISBLANK(A931),"",VLOOKUP(A931,DOI_URL!$B$1:$C$74,2,FALSE()))</f>
        <v/>
      </c>
      <c r="C931" s="8"/>
      <c r="D931" s="8"/>
      <c r="I931" s="8"/>
      <c r="J931" s="8"/>
    </row>
    <row r="932">
      <c r="A932" s="8"/>
      <c r="B932" s="8" t="str">
        <f>IF(ISBLANK(A932),"",VLOOKUP(A932,DOI_URL!$B$1:$C$74,2,FALSE()))</f>
        <v/>
      </c>
      <c r="C932" s="8"/>
      <c r="D932" s="8"/>
      <c r="I932" s="8"/>
      <c r="J932" s="8"/>
    </row>
    <row r="933">
      <c r="A933" s="8"/>
      <c r="B933" s="8" t="str">
        <f>IF(ISBLANK(A933),"",VLOOKUP(A933,DOI_URL!$B$1:$C$74,2,FALSE()))</f>
        <v/>
      </c>
      <c r="C933" s="8"/>
      <c r="D933" s="8"/>
      <c r="I933" s="8"/>
      <c r="J933" s="8"/>
    </row>
    <row r="934">
      <c r="A934" s="8"/>
      <c r="B934" s="8" t="str">
        <f>IF(ISBLANK(A934),"",VLOOKUP(A934,DOI_URL!$B$1:$C$74,2,FALSE()))</f>
        <v/>
      </c>
      <c r="C934" s="8"/>
      <c r="D934" s="8"/>
      <c r="I934" s="8"/>
      <c r="J934" s="8"/>
    </row>
    <row r="935">
      <c r="A935" s="8"/>
      <c r="B935" s="8" t="str">
        <f>IF(ISBLANK(A935),"",VLOOKUP(A935,DOI_URL!$B$1:$C$74,2,FALSE()))</f>
        <v/>
      </c>
      <c r="C935" s="8"/>
      <c r="D935" s="8"/>
      <c r="I935" s="8"/>
      <c r="J935" s="8"/>
    </row>
    <row r="936">
      <c r="A936" s="8"/>
      <c r="B936" s="8" t="str">
        <f>IF(ISBLANK(A936),"",VLOOKUP(A936,DOI_URL!$B$1:$C$74,2,FALSE()))</f>
        <v/>
      </c>
      <c r="C936" s="8"/>
      <c r="D936" s="8"/>
      <c r="I936" s="8"/>
      <c r="J936" s="8"/>
    </row>
    <row r="937">
      <c r="A937" s="8"/>
      <c r="B937" s="8" t="str">
        <f>IF(ISBLANK(A937),"",VLOOKUP(A937,DOI_URL!$B$1:$C$74,2,FALSE()))</f>
        <v/>
      </c>
      <c r="C937" s="8"/>
      <c r="D937" s="8"/>
      <c r="I937" s="8"/>
      <c r="J937" s="8"/>
    </row>
    <row r="938">
      <c r="A938" s="8"/>
      <c r="B938" s="8" t="str">
        <f>IF(ISBLANK(A938),"",VLOOKUP(A938,DOI_URL!$B$1:$C$74,2,FALSE()))</f>
        <v/>
      </c>
      <c r="C938" s="8"/>
      <c r="D938" s="8"/>
      <c r="I938" s="8"/>
      <c r="J938" s="8"/>
    </row>
    <row r="939">
      <c r="A939" s="8"/>
      <c r="B939" s="8" t="str">
        <f>IF(ISBLANK(A939),"",VLOOKUP(A939,DOI_URL!$B$1:$C$74,2,FALSE()))</f>
        <v/>
      </c>
      <c r="C939" s="8"/>
      <c r="D939" s="8"/>
      <c r="I939" s="8"/>
      <c r="J939" s="8"/>
    </row>
    <row r="940">
      <c r="A940" s="8"/>
      <c r="B940" s="8" t="str">
        <f>IF(ISBLANK(A940),"",VLOOKUP(A940,DOI_URL!$B$1:$C$74,2,FALSE()))</f>
        <v/>
      </c>
      <c r="C940" s="8"/>
      <c r="D940" s="8"/>
      <c r="I940" s="8"/>
      <c r="J940" s="8"/>
    </row>
    <row r="941">
      <c r="A941" s="8"/>
      <c r="B941" s="8" t="str">
        <f>IF(ISBLANK(A941),"",VLOOKUP(A941,DOI_URL!$B$1:$C$74,2,FALSE()))</f>
        <v/>
      </c>
      <c r="C941" s="8"/>
      <c r="D941" s="8"/>
      <c r="I941" s="8"/>
      <c r="J941" s="8"/>
    </row>
    <row r="942">
      <c r="A942" s="8"/>
      <c r="B942" s="8" t="str">
        <f>IF(ISBLANK(A942),"",VLOOKUP(A942,DOI_URL!$B$1:$C$74,2,FALSE()))</f>
        <v/>
      </c>
      <c r="C942" s="8"/>
      <c r="D942" s="8"/>
      <c r="I942" s="8"/>
      <c r="J942" s="8"/>
    </row>
    <row r="943">
      <c r="A943" s="8"/>
      <c r="B943" s="8" t="str">
        <f>IF(ISBLANK(A943),"",VLOOKUP(A943,DOI_URL!$B$1:$C$74,2,FALSE()))</f>
        <v/>
      </c>
      <c r="C943" s="8"/>
      <c r="D943" s="8"/>
      <c r="I943" s="8"/>
      <c r="J943" s="8"/>
    </row>
    <row r="944">
      <c r="A944" s="8"/>
      <c r="B944" s="8" t="str">
        <f>IF(ISBLANK(A944),"",VLOOKUP(A944,DOI_URL!$B$1:$C$74,2,FALSE()))</f>
        <v/>
      </c>
      <c r="C944" s="8"/>
      <c r="D944" s="8"/>
      <c r="I944" s="8"/>
      <c r="J944" s="8"/>
    </row>
    <row r="945">
      <c r="A945" s="8"/>
      <c r="B945" s="8" t="str">
        <f>IF(ISBLANK(A945),"",VLOOKUP(A945,DOI_URL!$B$1:$C$74,2,FALSE()))</f>
        <v/>
      </c>
      <c r="C945" s="8"/>
      <c r="D945" s="8"/>
      <c r="I945" s="8"/>
      <c r="J945" s="8"/>
    </row>
    <row r="946">
      <c r="A946" s="8"/>
      <c r="B946" s="8" t="str">
        <f>IF(ISBLANK(A946),"",VLOOKUP(A946,DOI_URL!$B$1:$C$74,2,FALSE()))</f>
        <v/>
      </c>
      <c r="C946" s="8"/>
      <c r="D946" s="8"/>
      <c r="I946" s="8"/>
      <c r="J946" s="8"/>
    </row>
    <row r="947">
      <c r="A947" s="8"/>
      <c r="B947" s="8" t="str">
        <f>IF(ISBLANK(A947),"",VLOOKUP(A947,DOI_URL!$B$1:$C$74,2,FALSE()))</f>
        <v/>
      </c>
      <c r="C947" s="8"/>
      <c r="D947" s="8"/>
      <c r="I947" s="8"/>
      <c r="J947" s="8"/>
    </row>
    <row r="948">
      <c r="A948" s="8"/>
      <c r="B948" s="8" t="str">
        <f>IF(ISBLANK(A948),"",VLOOKUP(A948,DOI_URL!$B$1:$C$74,2,FALSE()))</f>
        <v/>
      </c>
      <c r="C948" s="8"/>
      <c r="D948" s="8"/>
      <c r="I948" s="8"/>
      <c r="J948" s="8"/>
    </row>
    <row r="949">
      <c r="A949" s="8"/>
      <c r="B949" s="8" t="str">
        <f>IF(ISBLANK(A949),"",VLOOKUP(A949,DOI_URL!$B$1:$C$74,2,FALSE()))</f>
        <v/>
      </c>
      <c r="C949" s="8"/>
      <c r="D949" s="8"/>
      <c r="I949" s="8"/>
      <c r="J949" s="8"/>
    </row>
    <row r="950">
      <c r="A950" s="8"/>
      <c r="B950" s="8" t="str">
        <f>IF(ISBLANK(A950),"",VLOOKUP(A950,DOI_URL!$B$1:$C$74,2,FALSE()))</f>
        <v/>
      </c>
      <c r="C950" s="8"/>
      <c r="D950" s="8"/>
      <c r="I950" s="8"/>
      <c r="J950" s="8"/>
    </row>
    <row r="951">
      <c r="A951" s="8"/>
      <c r="B951" s="8" t="str">
        <f>IF(ISBLANK(A951),"",VLOOKUP(A951,DOI_URL!$B$1:$C$74,2,FALSE()))</f>
        <v/>
      </c>
      <c r="C951" s="8"/>
      <c r="D951" s="8"/>
      <c r="I951" s="8"/>
      <c r="J951" s="8"/>
    </row>
    <row r="952">
      <c r="A952" s="8"/>
      <c r="B952" s="8" t="str">
        <f>IF(ISBLANK(A952),"",VLOOKUP(A952,DOI_URL!$B$1:$C$74,2,FALSE()))</f>
        <v/>
      </c>
      <c r="C952" s="8"/>
      <c r="D952" s="8"/>
      <c r="I952" s="8"/>
      <c r="J952" s="8"/>
    </row>
    <row r="953">
      <c r="A953" s="8"/>
      <c r="B953" s="8" t="str">
        <f>IF(ISBLANK(A953),"",VLOOKUP(A953,DOI_URL!$B$1:$C$74,2,FALSE()))</f>
        <v/>
      </c>
      <c r="C953" s="8"/>
      <c r="D953" s="8"/>
      <c r="I953" s="8"/>
      <c r="J953" s="8"/>
    </row>
    <row r="954">
      <c r="A954" s="8"/>
      <c r="B954" s="8" t="str">
        <f>IF(ISBLANK(A954),"",VLOOKUP(A954,DOI_URL!$B$1:$C$74,2,FALSE()))</f>
        <v/>
      </c>
      <c r="C954" s="8"/>
      <c r="D954" s="8"/>
      <c r="I954" s="8"/>
      <c r="J954" s="8"/>
    </row>
    <row r="955">
      <c r="A955" s="8"/>
      <c r="B955" s="8" t="str">
        <f>IF(ISBLANK(A955),"",VLOOKUP(A955,DOI_URL!$B$1:$C$74,2,FALSE()))</f>
        <v/>
      </c>
      <c r="C955" s="8"/>
      <c r="D955" s="8"/>
      <c r="I955" s="8"/>
      <c r="J955" s="8"/>
    </row>
    <row r="956">
      <c r="A956" s="8"/>
      <c r="B956" s="8" t="str">
        <f>IF(ISBLANK(A956),"",VLOOKUP(A956,DOI_URL!$B$1:$C$74,2,FALSE()))</f>
        <v/>
      </c>
      <c r="C956" s="8"/>
      <c r="D956" s="8"/>
      <c r="I956" s="8"/>
      <c r="J956" s="8"/>
    </row>
    <row r="957">
      <c r="A957" s="8"/>
      <c r="B957" s="8" t="str">
        <f>IF(ISBLANK(A957),"",VLOOKUP(A957,DOI_URL!$B$1:$C$74,2,FALSE()))</f>
        <v/>
      </c>
      <c r="C957" s="8"/>
      <c r="D957" s="8"/>
      <c r="I957" s="8"/>
      <c r="J957" s="8"/>
    </row>
    <row r="958">
      <c r="A958" s="8"/>
      <c r="B958" s="8" t="str">
        <f>IF(ISBLANK(A958),"",VLOOKUP(A958,DOI_URL!$B$1:$C$74,2,FALSE()))</f>
        <v/>
      </c>
      <c r="C958" s="8"/>
      <c r="D958" s="8"/>
      <c r="I958" s="8"/>
      <c r="J958" s="8"/>
    </row>
    <row r="959">
      <c r="A959" s="8"/>
      <c r="B959" s="8" t="str">
        <f>IF(ISBLANK(A959),"",VLOOKUP(A959,DOI_URL!$B$1:$C$74,2,FALSE()))</f>
        <v/>
      </c>
      <c r="C959" s="8"/>
      <c r="D959" s="8"/>
      <c r="I959" s="8"/>
      <c r="J959" s="8"/>
    </row>
    <row r="960">
      <c r="A960" s="8"/>
      <c r="B960" s="8" t="str">
        <f>IF(ISBLANK(A960),"",VLOOKUP(A960,DOI_URL!$B$1:$C$74,2,FALSE()))</f>
        <v/>
      </c>
      <c r="C960" s="8"/>
      <c r="D960" s="8"/>
      <c r="I960" s="8"/>
      <c r="J960" s="8"/>
    </row>
    <row r="961">
      <c r="A961" s="8"/>
      <c r="B961" s="8" t="str">
        <f>IF(ISBLANK(A961),"",VLOOKUP(A961,DOI_URL!$B$1:$C$74,2,FALSE()))</f>
        <v/>
      </c>
      <c r="C961" s="8"/>
      <c r="D961" s="8"/>
      <c r="I961" s="8"/>
      <c r="J961" s="8"/>
    </row>
    <row r="962">
      <c r="A962" s="8"/>
      <c r="B962" s="8" t="str">
        <f>IF(ISBLANK(A962),"",VLOOKUP(A962,DOI_URL!$B$1:$C$74,2,FALSE()))</f>
        <v/>
      </c>
      <c r="C962" s="8"/>
      <c r="D962" s="8"/>
      <c r="I962" s="8"/>
      <c r="J962" s="8"/>
    </row>
    <row r="963">
      <c r="A963" s="8"/>
      <c r="B963" s="8" t="str">
        <f>IF(ISBLANK(A963),"",VLOOKUP(A963,DOI_URL!$B$1:$C$74,2,FALSE()))</f>
        <v/>
      </c>
      <c r="C963" s="8"/>
      <c r="D963" s="8"/>
      <c r="I963" s="8"/>
      <c r="J963" s="8"/>
    </row>
    <row r="964">
      <c r="A964" s="8"/>
      <c r="B964" s="8" t="str">
        <f>IF(ISBLANK(A964),"",VLOOKUP(A964,DOI_URL!$B$1:$C$74,2,FALSE()))</f>
        <v/>
      </c>
      <c r="C964" s="8"/>
      <c r="D964" s="8"/>
      <c r="I964" s="8"/>
      <c r="J964" s="8"/>
    </row>
    <row r="965">
      <c r="A965" s="8"/>
      <c r="B965" s="8" t="str">
        <f>IF(ISBLANK(A965),"",VLOOKUP(A965,DOI_URL!$B$1:$C$74,2,FALSE()))</f>
        <v/>
      </c>
      <c r="C965" s="8"/>
      <c r="D965" s="8"/>
      <c r="I965" s="8"/>
      <c r="J965" s="8"/>
    </row>
    <row r="966">
      <c r="A966" s="8"/>
      <c r="B966" s="8" t="str">
        <f>IF(ISBLANK(A966),"",VLOOKUP(A966,DOI_URL!$B$1:$C$74,2,FALSE()))</f>
        <v/>
      </c>
      <c r="C966" s="8"/>
      <c r="D966" s="8"/>
      <c r="I966" s="8"/>
      <c r="J966" s="8"/>
    </row>
    <row r="967">
      <c r="A967" s="8"/>
      <c r="B967" s="8" t="str">
        <f>IF(ISBLANK(A967),"",VLOOKUP(A967,DOI_URL!$B$1:$C$74,2,FALSE()))</f>
        <v/>
      </c>
      <c r="C967" s="8"/>
      <c r="D967" s="8"/>
      <c r="I967" s="8"/>
      <c r="J967" s="8"/>
    </row>
    <row r="968">
      <c r="A968" s="8"/>
      <c r="B968" s="8" t="str">
        <f>IF(ISBLANK(A968),"",VLOOKUP(A968,DOI_URL!$B$1:$C$74,2,FALSE()))</f>
        <v/>
      </c>
      <c r="C968" s="8"/>
      <c r="D968" s="8"/>
      <c r="I968" s="8"/>
      <c r="J968" s="8"/>
    </row>
    <row r="969">
      <c r="A969" s="8"/>
      <c r="B969" s="8" t="str">
        <f>IF(ISBLANK(A969),"",VLOOKUP(A969,DOI_URL!$B$1:$C$74,2,FALSE()))</f>
        <v/>
      </c>
      <c r="C969" s="8"/>
      <c r="D969" s="8"/>
      <c r="I969" s="8"/>
      <c r="J969" s="8"/>
    </row>
    <row r="970">
      <c r="A970" s="8"/>
      <c r="B970" s="8" t="str">
        <f>IF(ISBLANK(A970),"",VLOOKUP(A970,DOI_URL!$B$1:$C$74,2,FALSE()))</f>
        <v/>
      </c>
      <c r="C970" s="8"/>
      <c r="D970" s="8"/>
      <c r="I970" s="8"/>
      <c r="J970" s="8"/>
    </row>
    <row r="971">
      <c r="A971" s="8"/>
      <c r="B971" s="8" t="str">
        <f>IF(ISBLANK(A971),"",VLOOKUP(A971,DOI_URL!$B$1:$C$74,2,FALSE()))</f>
        <v/>
      </c>
      <c r="C971" s="8"/>
      <c r="D971" s="8"/>
      <c r="I971" s="8"/>
      <c r="J971" s="8"/>
    </row>
    <row r="972">
      <c r="A972" s="8"/>
      <c r="B972" s="8" t="str">
        <f>IF(ISBLANK(A972),"",VLOOKUP(A972,DOI_URL!$B$1:$C$74,2,FALSE()))</f>
        <v/>
      </c>
      <c r="C972" s="8"/>
      <c r="D972" s="8"/>
      <c r="I972" s="8"/>
      <c r="J972" s="8"/>
    </row>
    <row r="973">
      <c r="A973" s="8"/>
      <c r="B973" s="8" t="str">
        <f>IF(ISBLANK(A973),"",VLOOKUP(A973,DOI_URL!$B$1:$C$74,2,FALSE()))</f>
        <v/>
      </c>
      <c r="C973" s="8"/>
      <c r="D973" s="8"/>
      <c r="I973" s="8"/>
      <c r="J973" s="8"/>
    </row>
    <row r="974">
      <c r="A974" s="8"/>
      <c r="B974" s="8" t="str">
        <f>IF(ISBLANK(A974),"",VLOOKUP(A974,DOI_URL!$B$1:$C$74,2,FALSE()))</f>
        <v/>
      </c>
      <c r="C974" s="8"/>
      <c r="D974" s="8"/>
      <c r="I974" s="8"/>
      <c r="J974" s="8"/>
    </row>
    <row r="975">
      <c r="A975" s="8"/>
      <c r="B975" s="8" t="str">
        <f>IF(ISBLANK(A975),"",VLOOKUP(A975,DOI_URL!$B$1:$C$74,2,FALSE()))</f>
        <v/>
      </c>
      <c r="C975" s="8"/>
      <c r="D975" s="8"/>
      <c r="I975" s="8"/>
      <c r="J975" s="8"/>
    </row>
    <row r="976">
      <c r="A976" s="8"/>
      <c r="B976" s="8" t="str">
        <f>IF(ISBLANK(A976),"",VLOOKUP(A976,DOI_URL!$B$1:$C$74,2,FALSE()))</f>
        <v/>
      </c>
      <c r="C976" s="8"/>
      <c r="D976" s="8"/>
      <c r="I976" s="8"/>
      <c r="J976" s="8"/>
    </row>
    <row r="977">
      <c r="A977" s="8"/>
      <c r="B977" s="8" t="str">
        <f>IF(ISBLANK(A977),"",VLOOKUP(A977,DOI_URL!$B$1:$C$74,2,FALSE()))</f>
        <v/>
      </c>
      <c r="C977" s="8"/>
      <c r="D977" s="8"/>
      <c r="I977" s="8"/>
      <c r="J977" s="8"/>
    </row>
    <row r="978">
      <c r="A978" s="8"/>
      <c r="B978" s="8" t="str">
        <f>IF(ISBLANK(A978),"",VLOOKUP(A978,DOI_URL!$B$1:$C$74,2,FALSE()))</f>
        <v/>
      </c>
      <c r="C978" s="8"/>
      <c r="D978" s="8"/>
      <c r="I978" s="8"/>
      <c r="J978" s="8"/>
    </row>
    <row r="979">
      <c r="A979" s="8"/>
      <c r="B979" s="8" t="str">
        <f>IF(ISBLANK(A979),"",VLOOKUP(A979,DOI_URL!$B$1:$C$74,2,FALSE()))</f>
        <v/>
      </c>
      <c r="C979" s="8"/>
      <c r="D979" s="8"/>
      <c r="I979" s="8"/>
      <c r="J979" s="8"/>
    </row>
    <row r="980">
      <c r="A980" s="8"/>
      <c r="B980" s="8" t="str">
        <f>IF(ISBLANK(A980),"",VLOOKUP(A980,DOI_URL!$B$1:$C$74,2,FALSE()))</f>
        <v/>
      </c>
      <c r="C980" s="8"/>
      <c r="D980" s="8"/>
      <c r="I980" s="8"/>
      <c r="J980" s="8"/>
    </row>
    <row r="981">
      <c r="A981" s="8"/>
      <c r="B981" s="8" t="str">
        <f>IF(ISBLANK(A981),"",VLOOKUP(A981,DOI_URL!$B$1:$C$74,2,FALSE()))</f>
        <v/>
      </c>
      <c r="C981" s="8"/>
      <c r="D981" s="8"/>
      <c r="I981" s="8"/>
      <c r="J981" s="8"/>
    </row>
    <row r="982">
      <c r="A982" s="8"/>
      <c r="B982" s="8" t="str">
        <f>IF(ISBLANK(A982),"",VLOOKUP(A982,DOI_URL!$B$1:$C$74,2,FALSE()))</f>
        <v/>
      </c>
      <c r="C982" s="8"/>
      <c r="D982" s="8"/>
      <c r="I982" s="8"/>
      <c r="J982" s="8"/>
    </row>
    <row r="983">
      <c r="A983" s="8"/>
      <c r="B983" s="8" t="str">
        <f>IF(ISBLANK(A983),"",VLOOKUP(A983,DOI_URL!$B$1:$C$74,2,FALSE()))</f>
        <v/>
      </c>
      <c r="C983" s="8"/>
      <c r="D983" s="8"/>
      <c r="I983" s="8"/>
      <c r="J983" s="8"/>
    </row>
    <row r="984">
      <c r="A984" s="8"/>
      <c r="B984" s="8" t="str">
        <f>IF(ISBLANK(A984),"",VLOOKUP(A984,DOI_URL!$B$1:$C$74,2,FALSE()))</f>
        <v/>
      </c>
      <c r="C984" s="8"/>
      <c r="D984" s="8"/>
      <c r="I984" s="8"/>
      <c r="J984" s="8"/>
    </row>
    <row r="985">
      <c r="A985" s="8"/>
      <c r="B985" s="8" t="str">
        <f>IF(ISBLANK(A985),"",VLOOKUP(A985,DOI_URL!$B$1:$C$74,2,FALSE()))</f>
        <v/>
      </c>
      <c r="C985" s="8"/>
      <c r="D985" s="8"/>
      <c r="I985" s="8"/>
      <c r="J985" s="8"/>
    </row>
    <row r="986">
      <c r="A986" s="8"/>
      <c r="B986" s="8" t="str">
        <f>IF(ISBLANK(A986),"",VLOOKUP(A986,DOI_URL!$B$1:$C$74,2,FALSE()))</f>
        <v/>
      </c>
      <c r="C986" s="8"/>
      <c r="D986" s="8"/>
      <c r="I986" s="8"/>
      <c r="J986" s="8"/>
    </row>
    <row r="987">
      <c r="A987" s="8"/>
      <c r="B987" s="8" t="str">
        <f>IF(ISBLANK(A987),"",VLOOKUP(A987,DOI_URL!$B$1:$C$74,2,FALSE()))</f>
        <v/>
      </c>
      <c r="C987" s="8"/>
      <c r="D987" s="8"/>
      <c r="I987" s="8"/>
      <c r="J987" s="8"/>
    </row>
    <row r="988">
      <c r="A988" s="8"/>
      <c r="B988" s="8" t="str">
        <f>IF(ISBLANK(A988),"",VLOOKUP(A988,DOI_URL!$B$1:$C$74,2,FALSE()))</f>
        <v/>
      </c>
      <c r="C988" s="8"/>
      <c r="D988" s="8"/>
      <c r="I988" s="8"/>
      <c r="J988" s="8"/>
    </row>
    <row r="989">
      <c r="A989" s="8"/>
      <c r="B989" s="8" t="str">
        <f>IF(ISBLANK(A989),"",VLOOKUP(A989,DOI_URL!$B$1:$C$74,2,FALSE()))</f>
        <v/>
      </c>
      <c r="C989" s="8"/>
      <c r="D989" s="8"/>
      <c r="I989" s="8"/>
      <c r="J989" s="8"/>
    </row>
    <row r="990">
      <c r="A990" s="8"/>
      <c r="B990" s="8" t="str">
        <f>IF(ISBLANK(A990),"",VLOOKUP(A990,DOI_URL!$B$1:$C$74,2,FALSE()))</f>
        <v/>
      </c>
      <c r="C990" s="8"/>
      <c r="D990" s="8"/>
      <c r="I990" s="8"/>
      <c r="J990" s="8"/>
    </row>
    <row r="991">
      <c r="A991" s="8"/>
      <c r="B991" s="8" t="str">
        <f>IF(ISBLANK(A991),"",VLOOKUP(A991,DOI_URL!$B$1:$C$74,2,FALSE()))</f>
        <v/>
      </c>
      <c r="C991" s="8"/>
      <c r="D991" s="8"/>
      <c r="I991" s="8"/>
      <c r="J991" s="8"/>
    </row>
    <row r="992">
      <c r="A992" s="8"/>
      <c r="B992" s="8" t="str">
        <f>IF(ISBLANK(A992),"",VLOOKUP(A992,DOI_URL!$B$1:$C$74,2,FALSE()))</f>
        <v/>
      </c>
      <c r="C992" s="8"/>
      <c r="D992" s="8"/>
      <c r="I992" s="8"/>
      <c r="J992" s="8"/>
    </row>
    <row r="993">
      <c r="A993" s="8"/>
      <c r="B993" s="8" t="str">
        <f>IF(ISBLANK(A993),"",VLOOKUP(A993,DOI_URL!$B$1:$C$74,2,FALSE()))</f>
        <v/>
      </c>
      <c r="C993" s="8"/>
      <c r="D993" s="8"/>
      <c r="I993" s="8"/>
      <c r="J993" s="8"/>
    </row>
    <row r="994">
      <c r="A994" s="8"/>
      <c r="B994" s="8" t="str">
        <f>IF(ISBLANK(A994),"",VLOOKUP(A994,DOI_URL!$B$1:$C$74,2,FALSE()))</f>
        <v/>
      </c>
      <c r="C994" s="8"/>
      <c r="D994" s="8"/>
      <c r="I994" s="8"/>
      <c r="J994" s="8"/>
    </row>
    <row r="995">
      <c r="A995" s="8"/>
      <c r="B995" s="8" t="str">
        <f>IF(ISBLANK(A995),"",VLOOKUP(A995,DOI_URL!$B$1:$C$74,2,FALSE()))</f>
        <v/>
      </c>
      <c r="C995" s="8"/>
      <c r="D995" s="8"/>
      <c r="I995" s="8"/>
      <c r="J995" s="8"/>
    </row>
    <row r="996">
      <c r="A996" s="8"/>
      <c r="B996" s="8" t="str">
        <f>IF(ISBLANK(A996),"",VLOOKUP(A996,DOI_URL!$B$1:$C$74,2,FALSE()))</f>
        <v/>
      </c>
      <c r="C996" s="8"/>
      <c r="D996" s="8"/>
      <c r="I996" s="8"/>
      <c r="J996" s="8"/>
    </row>
    <row r="997">
      <c r="A997" s="8"/>
      <c r="B997" s="8" t="str">
        <f>IF(ISBLANK(A997),"",VLOOKUP(A997,DOI_URL!$B$1:$C$74,2,FALSE()))</f>
        <v/>
      </c>
      <c r="C997" s="8"/>
      <c r="D997" s="8"/>
      <c r="I997" s="8"/>
      <c r="J997" s="8"/>
    </row>
    <row r="998">
      <c r="A998" s="8"/>
      <c r="B998" s="8" t="str">
        <f>IF(ISBLANK(A998),"",VLOOKUP(A998,DOI_URL!$B$1:$C$74,2,FALSE()))</f>
        <v/>
      </c>
      <c r="C998" s="8"/>
      <c r="D998" s="8"/>
      <c r="I998" s="8"/>
      <c r="J998" s="8"/>
    </row>
    <row r="999">
      <c r="A999" s="8"/>
      <c r="B999" s="8" t="str">
        <f>IF(ISBLANK(A999),"",VLOOKUP(A999,DOI_URL!$B$1:$C$74,2,FALSE()))</f>
        <v/>
      </c>
      <c r="C999" s="8"/>
      <c r="D999" s="8"/>
      <c r="I999" s="8"/>
      <c r="J999" s="8"/>
    </row>
    <row r="1000">
      <c r="A1000" s="8"/>
      <c r="B1000" s="8" t="str">
        <f>IF(ISBLANK(A1000),"",VLOOKUP(A1000,DOI_URL!$B$1:$C$74,2,FALSE()))</f>
        <v/>
      </c>
      <c r="C1000" s="8"/>
      <c r="D1000" s="8"/>
      <c r="I1000" s="8"/>
      <c r="J1000" s="8"/>
    </row>
  </sheetData>
  <dataValidations>
    <dataValidation type="list" allowBlank="1" showInputMessage="1" prompt="Haz clic e introduce un valor de intervalo 'General Taggs'!C2:C32" sqref="I2:I1000">
      <formula1>'General Tags'!$D$2:$D$32</formula1>
    </dataValidation>
    <dataValidation type="list" allowBlank="1" sqref="C2:C24 C25:D71 C72 C73:D82 C83 C84:D84 C85:C134 C135:D147 C148:C1000">
      <formula1>'General Tags'!$B$2:$B$3</formula1>
    </dataValidation>
    <dataValidation type="list" allowBlank="1" sqref="A2:A1000">
      <formula1>Assignment!$K$3:$K$88</formula1>
    </dataValidation>
    <dataValidation type="list" allowBlank="1" sqref="D2:D24 D72 D83 D85:D134 D148:D1000">
      <formula1>'General Tags'!$C$2:$C$3</formula1>
    </dataValidation>
    <dataValidation type="list" allowBlank="1" showInputMessage="1" showErrorMessage="1" prompt="Please, first add the SE task in the General tags page in column E" sqref="J2:J1000">
      <formula1>'General Tags'!$F$2:$F$295</formula1>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13"/>
    <col customWidth="1" min="4" max="4" width="20.13"/>
    <col customWidth="1" min="5" max="5" width="21.63"/>
    <col customWidth="1" min="6" max="6" width="30.0"/>
    <col customWidth="1" min="7" max="8" width="32.63"/>
    <col customWidth="1" min="9" max="9" width="71.63"/>
    <col customWidth="1" min="10" max="10" width="25.38"/>
    <col customWidth="1" min="11" max="11" width="40.75"/>
  </cols>
  <sheetData>
    <row r="1" ht="35.25" customHeight="1">
      <c r="A1" s="172" t="s">
        <v>3329</v>
      </c>
      <c r="B1" s="158" t="s">
        <v>3330</v>
      </c>
      <c r="C1" s="158" t="s">
        <v>3307</v>
      </c>
      <c r="D1" s="158" t="s">
        <v>3331</v>
      </c>
      <c r="E1" s="158" t="s">
        <v>2</v>
      </c>
      <c r="F1" s="160" t="s">
        <v>3</v>
      </c>
      <c r="G1" s="173" t="s">
        <v>4</v>
      </c>
      <c r="H1" s="174" t="s">
        <v>5</v>
      </c>
      <c r="I1" s="159" t="s">
        <v>6</v>
      </c>
      <c r="J1" s="159" t="s">
        <v>7</v>
      </c>
    </row>
    <row r="2">
      <c r="A2" s="1" t="s">
        <v>1738</v>
      </c>
      <c r="B2" s="170" t="str">
        <f>IF(ISBLANK(A2),"",VLOOKUP(A2,DOI_URL!$B$1:$C$74,2,FALSE()))</f>
        <v>https://drive.google.com/file/d/11qeTUw7mgkNXIxUUneu0Hp01jufl4DF5/view?usp=sharing</v>
      </c>
      <c r="C2" s="1" t="s">
        <v>3311</v>
      </c>
      <c r="D2" s="1" t="s">
        <v>3311</v>
      </c>
      <c r="E2" s="1" t="s">
        <v>3503</v>
      </c>
      <c r="F2" s="1" t="s">
        <v>1740</v>
      </c>
      <c r="G2" s="1" t="s">
        <v>1741</v>
      </c>
      <c r="H2" s="1" t="s">
        <v>1344</v>
      </c>
      <c r="I2" s="1" t="s">
        <v>44</v>
      </c>
      <c r="J2" s="1" t="s">
        <v>372</v>
      </c>
    </row>
    <row r="3">
      <c r="A3" s="1" t="s">
        <v>1738</v>
      </c>
      <c r="B3" s="170" t="str">
        <f>IF(ISBLANK(A3),"",VLOOKUP(A3,DOI_URL!$B$1:$C$74,2,FALSE()))</f>
        <v>https://drive.google.com/file/d/11qeTUw7mgkNXIxUUneu0Hp01jufl4DF5/view?usp=sharing</v>
      </c>
      <c r="C3" s="1" t="s">
        <v>3311</v>
      </c>
      <c r="D3" s="1" t="s">
        <v>3311</v>
      </c>
      <c r="E3" s="1" t="s">
        <v>3504</v>
      </c>
      <c r="F3" s="1" t="s">
        <v>1743</v>
      </c>
      <c r="G3" s="1" t="s">
        <v>2419</v>
      </c>
      <c r="H3" s="1" t="s">
        <v>1745</v>
      </c>
      <c r="I3" s="1" t="s">
        <v>39</v>
      </c>
      <c r="J3" s="1" t="s">
        <v>372</v>
      </c>
    </row>
    <row r="4">
      <c r="A4" s="1" t="s">
        <v>1300</v>
      </c>
      <c r="B4" s="170" t="str">
        <f>IF(ISBLANK(A4),"",VLOOKUP(A4,DOI_URL!$B$1:$C$74,2,FALSE()))</f>
        <v>https://drive.google.com/file/d/1gtlaXSsNg5pEpQ0ZyxrJHb-7vERCEhzC/view?usp=sharing</v>
      </c>
      <c r="C4" s="1" t="s">
        <v>3311</v>
      </c>
      <c r="D4" s="1" t="s">
        <v>3311</v>
      </c>
      <c r="E4" s="1" t="s">
        <v>3505</v>
      </c>
      <c r="F4" s="1" t="s">
        <v>1302</v>
      </c>
      <c r="G4" s="1" t="s">
        <v>1303</v>
      </c>
      <c r="H4" s="1" t="s">
        <v>2850</v>
      </c>
      <c r="I4" s="1" t="s">
        <v>44</v>
      </c>
      <c r="J4" s="1" t="s">
        <v>1305</v>
      </c>
    </row>
    <row r="5">
      <c r="A5" s="1" t="s">
        <v>1300</v>
      </c>
      <c r="B5" s="170" t="str">
        <f>IF(ISBLANK(A5),"",VLOOKUP(A5,DOI_URL!$B$1:$C$74,2,FALSE()))</f>
        <v>https://drive.google.com/file/d/1gtlaXSsNg5pEpQ0ZyxrJHb-7vERCEhzC/view?usp=sharing</v>
      </c>
      <c r="C5" s="1" t="s">
        <v>3311</v>
      </c>
      <c r="D5" s="1" t="s">
        <v>3311</v>
      </c>
      <c r="E5" s="1" t="s">
        <v>3506</v>
      </c>
      <c r="F5" s="1" t="s">
        <v>1302</v>
      </c>
      <c r="G5" s="40" t="s">
        <v>1307</v>
      </c>
      <c r="H5" s="1" t="s">
        <v>2854</v>
      </c>
      <c r="I5" s="1" t="s">
        <v>20</v>
      </c>
      <c r="J5" s="1" t="s">
        <v>1305</v>
      </c>
    </row>
    <row r="6">
      <c r="A6" s="1" t="s">
        <v>1300</v>
      </c>
      <c r="B6" s="170" t="str">
        <f>IF(ISBLANK(A6),"",VLOOKUP(A6,DOI_URL!$B$1:$C$74,2,FALSE()))</f>
        <v>https://drive.google.com/file/d/1gtlaXSsNg5pEpQ0ZyxrJHb-7vERCEhzC/view?usp=sharing</v>
      </c>
      <c r="C6" s="1" t="s">
        <v>3311</v>
      </c>
      <c r="D6" s="1" t="s">
        <v>3311</v>
      </c>
      <c r="E6" s="1" t="s">
        <v>3507</v>
      </c>
      <c r="F6" s="1" t="s">
        <v>11</v>
      </c>
      <c r="G6" s="40" t="s">
        <v>2860</v>
      </c>
      <c r="H6" s="40" t="s">
        <v>2861</v>
      </c>
      <c r="I6" s="1" t="s">
        <v>20</v>
      </c>
      <c r="J6" s="1" t="s">
        <v>1305</v>
      </c>
    </row>
    <row r="7">
      <c r="A7" s="1" t="s">
        <v>1300</v>
      </c>
      <c r="B7" s="170" t="str">
        <f>IF(ISBLANK(A7),"",VLOOKUP(A7,DOI_URL!$B$1:$C$74,2,FALSE()))</f>
        <v>https://drive.google.com/file/d/1gtlaXSsNg5pEpQ0ZyxrJHb-7vERCEhzC/view?usp=sharing</v>
      </c>
      <c r="C7" s="1" t="s">
        <v>3311</v>
      </c>
      <c r="D7" s="1" t="s">
        <v>3311</v>
      </c>
      <c r="E7" s="1" t="s">
        <v>3508</v>
      </c>
      <c r="F7" s="1" t="s">
        <v>2863</v>
      </c>
      <c r="G7" s="1" t="s">
        <v>2864</v>
      </c>
      <c r="I7" s="1" t="s">
        <v>54</v>
      </c>
      <c r="J7" s="1" t="s">
        <v>1305</v>
      </c>
    </row>
    <row r="8">
      <c r="A8" s="1" t="s">
        <v>636</v>
      </c>
      <c r="B8" s="170" t="str">
        <f>IF(ISBLANK(A8),"",VLOOKUP(A8,DOI_URL!$B$1:$C$74,2,FALSE()))</f>
        <v>https://drive.google.com/file/d/1XgKvlH2BmKeD0YQIFn07Xd0xAeEr4Cqn/view?usp=sharing</v>
      </c>
      <c r="C8" s="1" t="s">
        <v>3309</v>
      </c>
      <c r="D8" s="8"/>
      <c r="I8" s="8"/>
      <c r="J8" s="8"/>
      <c r="K8" s="40" t="s">
        <v>3509</v>
      </c>
    </row>
    <row r="9">
      <c r="A9" s="1" t="s">
        <v>2024</v>
      </c>
      <c r="B9" s="170" t="str">
        <f>IF(ISBLANK(A9),"",VLOOKUP(A9,DOI_URL!$B$1:$C$74,2,FALSE()))</f>
        <v>https://drive.google.com/file/d/1JZQNwY2TOpDBW0F0DdPs6-ms46LuyiQj/view?usp=sharing</v>
      </c>
      <c r="C9" s="1" t="s">
        <v>3311</v>
      </c>
      <c r="D9" s="1" t="s">
        <v>3309</v>
      </c>
      <c r="E9" s="40" t="s">
        <v>2025</v>
      </c>
      <c r="F9" s="1" t="s">
        <v>3221</v>
      </c>
      <c r="G9" s="40" t="s">
        <v>2026</v>
      </c>
      <c r="I9" s="1" t="s">
        <v>91</v>
      </c>
      <c r="J9" s="1" t="s">
        <v>1780</v>
      </c>
    </row>
    <row r="10">
      <c r="A10" s="1" t="s">
        <v>2024</v>
      </c>
      <c r="B10" s="170" t="str">
        <f>IF(ISBLANK(A10),"",VLOOKUP(A10,DOI_URL!$B$1:$C$74,2,FALSE()))</f>
        <v>https://drive.google.com/file/d/1JZQNwY2TOpDBW0F0DdPs6-ms46LuyiQj/view?usp=sharing</v>
      </c>
      <c r="C10" s="1" t="s">
        <v>3311</v>
      </c>
      <c r="D10" s="1" t="s">
        <v>3311</v>
      </c>
      <c r="E10" s="1" t="s">
        <v>2029</v>
      </c>
      <c r="F10" s="40" t="s">
        <v>3223</v>
      </c>
      <c r="G10" s="1" t="s">
        <v>1563</v>
      </c>
      <c r="H10" s="1" t="s">
        <v>1344</v>
      </c>
      <c r="I10" s="1" t="s">
        <v>44</v>
      </c>
      <c r="J10" s="1" t="s">
        <v>1780</v>
      </c>
    </row>
    <row r="11">
      <c r="A11" s="1" t="s">
        <v>2024</v>
      </c>
      <c r="B11" s="170" t="str">
        <f>IF(ISBLANK(A11),"",VLOOKUP(A11,DOI_URL!$B$1:$C$74,2,FALSE()))</f>
        <v>https://drive.google.com/file/d/1JZQNwY2TOpDBW0F0DdPs6-ms46LuyiQj/view?usp=sharing</v>
      </c>
      <c r="C11" s="1" t="s">
        <v>3311</v>
      </c>
      <c r="D11" s="1" t="s">
        <v>3311</v>
      </c>
      <c r="E11" s="1" t="s">
        <v>2041</v>
      </c>
      <c r="F11" s="1" t="s">
        <v>1743</v>
      </c>
      <c r="G11" s="40" t="s">
        <v>2043</v>
      </c>
      <c r="H11" s="1" t="s">
        <v>3224</v>
      </c>
      <c r="I11" s="1" t="s">
        <v>39</v>
      </c>
      <c r="J11" s="1" t="s">
        <v>1780</v>
      </c>
    </row>
    <row r="12">
      <c r="A12" s="1" t="s">
        <v>1557</v>
      </c>
      <c r="B12" s="170" t="str">
        <f>IF(ISBLANK(A12),"",VLOOKUP(A12,DOI_URL!$B$1:$C$74,2,FALSE()))</f>
        <v>https://drive.google.com/file/d/1zYAcrwzS3KL_ErwBKdhjPSm1fm4sPcP9/view?usp=sharing</v>
      </c>
      <c r="C12" s="1" t="s">
        <v>3311</v>
      </c>
      <c r="D12" s="1" t="s">
        <v>3311</v>
      </c>
      <c r="E12" s="1" t="s">
        <v>3510</v>
      </c>
      <c r="F12" s="1" t="s">
        <v>1562</v>
      </c>
      <c r="G12" s="1" t="s">
        <v>1563</v>
      </c>
      <c r="H12" s="1" t="s">
        <v>1344</v>
      </c>
      <c r="I12" s="1" t="s">
        <v>44</v>
      </c>
      <c r="J12" s="1" t="s">
        <v>3020</v>
      </c>
    </row>
    <row r="13">
      <c r="A13" s="1" t="s">
        <v>1557</v>
      </c>
      <c r="B13" s="170" t="str">
        <f>IF(ISBLANK(A13),"",VLOOKUP(A13,DOI_URL!$B$1:$C$74,2,FALSE()))</f>
        <v>https://drive.google.com/file/d/1zYAcrwzS3KL_ErwBKdhjPSm1fm4sPcP9/view?usp=sharing</v>
      </c>
      <c r="C13" s="1" t="s">
        <v>3311</v>
      </c>
      <c r="D13" s="1" t="s">
        <v>3311</v>
      </c>
      <c r="E13" s="1" t="s">
        <v>3511</v>
      </c>
      <c r="F13" s="1" t="s">
        <v>1566</v>
      </c>
      <c r="G13" s="1" t="s">
        <v>3016</v>
      </c>
      <c r="H13" s="1" t="s">
        <v>1568</v>
      </c>
      <c r="I13" s="1" t="s">
        <v>91</v>
      </c>
      <c r="J13" s="1" t="s">
        <v>3020</v>
      </c>
    </row>
    <row r="14">
      <c r="A14" s="1" t="s">
        <v>1557</v>
      </c>
      <c r="B14" s="170" t="str">
        <f>IF(ISBLANK(A14),"",VLOOKUP(A14,DOI_URL!$B$1:$C$74,2,FALSE()))</f>
        <v>https://drive.google.com/file/d/1zYAcrwzS3KL_ErwBKdhjPSm1fm4sPcP9/view?usp=sharing</v>
      </c>
      <c r="C14" s="1" t="s">
        <v>3311</v>
      </c>
      <c r="D14" s="1" t="s">
        <v>3309</v>
      </c>
      <c r="E14" s="1" t="s">
        <v>3511</v>
      </c>
      <c r="F14" s="1" t="s">
        <v>503</v>
      </c>
      <c r="G14" s="1" t="s">
        <v>1569</v>
      </c>
      <c r="I14" s="1" t="s">
        <v>2388</v>
      </c>
      <c r="J14" s="1" t="s">
        <v>3020</v>
      </c>
    </row>
    <row r="15">
      <c r="A15" s="1" t="s">
        <v>1557</v>
      </c>
      <c r="B15" s="170" t="str">
        <f>IF(ISBLANK(A15),"",VLOOKUP(A15,DOI_URL!$B$1:$C$74,2,FALSE()))</f>
        <v>https://drive.google.com/file/d/1zYAcrwzS3KL_ErwBKdhjPSm1fm4sPcP9/view?usp=sharing</v>
      </c>
      <c r="C15" s="1" t="s">
        <v>3311</v>
      </c>
      <c r="D15" s="1" t="s">
        <v>3311</v>
      </c>
      <c r="E15" s="1" t="s">
        <v>3512</v>
      </c>
      <c r="F15" s="1" t="s">
        <v>2245</v>
      </c>
      <c r="G15" s="1" t="s">
        <v>3025</v>
      </c>
      <c r="H15" s="1" t="s">
        <v>434</v>
      </c>
      <c r="I15" s="1" t="s">
        <v>39</v>
      </c>
      <c r="J15" s="1" t="s">
        <v>3020</v>
      </c>
    </row>
    <row r="16">
      <c r="A16" s="1" t="s">
        <v>1557</v>
      </c>
      <c r="B16" s="170" t="str">
        <f>IF(ISBLANK(A16),"",VLOOKUP(A16,DOI_URL!$B$1:$C$74,2,FALSE()))</f>
        <v>https://drive.google.com/file/d/1zYAcrwzS3KL_ErwBKdhjPSm1fm4sPcP9/view?usp=sharing</v>
      </c>
      <c r="C16" s="1" t="s">
        <v>3311</v>
      </c>
      <c r="D16" s="1" t="s">
        <v>3311</v>
      </c>
      <c r="E16" s="1" t="s">
        <v>3513</v>
      </c>
      <c r="F16" s="1" t="s">
        <v>3022</v>
      </c>
      <c r="G16" s="1" t="s">
        <v>3023</v>
      </c>
      <c r="H16" s="1" t="s">
        <v>434</v>
      </c>
      <c r="I16" s="1" t="s">
        <v>39</v>
      </c>
      <c r="J16" s="1" t="s">
        <v>3020</v>
      </c>
    </row>
    <row r="17">
      <c r="A17" s="1" t="s">
        <v>2048</v>
      </c>
      <c r="B17" s="170" t="str">
        <f>IF(ISBLANK(A17),"",VLOOKUP(A17,DOI_URL!$B$1:$C$74,2,FALSE()))</f>
        <v>https://drive.google.com/file/d/19_9hHScb-SsvztR5YVMwQ0lDgZnOVNKr/view?usp=sharing</v>
      </c>
      <c r="C17" s="1" t="s">
        <v>3311</v>
      </c>
      <c r="D17" s="1" t="s">
        <v>3311</v>
      </c>
      <c r="E17" s="1" t="s">
        <v>2049</v>
      </c>
      <c r="F17" s="1" t="s">
        <v>2050</v>
      </c>
      <c r="G17" s="1" t="s">
        <v>2051</v>
      </c>
      <c r="H17" s="40" t="s">
        <v>3236</v>
      </c>
      <c r="I17" s="1" t="s">
        <v>39</v>
      </c>
      <c r="J17" s="1" t="s">
        <v>428</v>
      </c>
    </row>
    <row r="18">
      <c r="A18" s="1" t="s">
        <v>2048</v>
      </c>
      <c r="B18" s="170" t="str">
        <f>IF(ISBLANK(A18),"",VLOOKUP(A18,DOI_URL!$B$1:$C$74,2,FALSE()))</f>
        <v>https://drive.google.com/file/d/19_9hHScb-SsvztR5YVMwQ0lDgZnOVNKr/view?usp=sharing</v>
      </c>
      <c r="C18" s="1" t="s">
        <v>3311</v>
      </c>
      <c r="D18" s="1" t="s">
        <v>3311</v>
      </c>
      <c r="E18" s="1" t="s">
        <v>2058</v>
      </c>
      <c r="F18" s="1" t="s">
        <v>2059</v>
      </c>
      <c r="G18" s="40" t="s">
        <v>3237</v>
      </c>
      <c r="H18" s="1" t="s">
        <v>2067</v>
      </c>
      <c r="I18" s="1" t="s">
        <v>20</v>
      </c>
      <c r="J18" s="1" t="s">
        <v>428</v>
      </c>
    </row>
    <row r="19">
      <c r="A19" s="1" t="s">
        <v>2048</v>
      </c>
      <c r="B19" s="170" t="str">
        <f>IF(ISBLANK(A19),"",VLOOKUP(A19,DOI_URL!$B$1:$C$74,2,FALSE()))</f>
        <v>https://drive.google.com/file/d/19_9hHScb-SsvztR5YVMwQ0lDgZnOVNKr/view?usp=sharing</v>
      </c>
      <c r="C19" s="1" t="s">
        <v>3311</v>
      </c>
      <c r="D19" s="1" t="s">
        <v>3311</v>
      </c>
      <c r="E19" s="1" t="s">
        <v>2058</v>
      </c>
      <c r="F19" s="1" t="s">
        <v>3238</v>
      </c>
      <c r="G19" s="1" t="s">
        <v>3239</v>
      </c>
      <c r="H19" s="1" t="s">
        <v>3240</v>
      </c>
      <c r="I19" s="1" t="s">
        <v>54</v>
      </c>
      <c r="J19" s="1" t="s">
        <v>428</v>
      </c>
    </row>
    <row r="20">
      <c r="A20" s="1" t="s">
        <v>1327</v>
      </c>
      <c r="B20" s="170" t="str">
        <f>IF(ISBLANK(A20),"",VLOOKUP(A20,DOI_URL!$B$1:$C$74,2,FALSE()))</f>
        <v>https://drive.google.com/file/d/1zV_8Fbi0FfBwVeqfLb5mP-YUSUtiumzC/view?usp=sharing</v>
      </c>
      <c r="C20" s="1" t="s">
        <v>3311</v>
      </c>
      <c r="D20" s="1" t="s">
        <v>3311</v>
      </c>
      <c r="E20" s="1" t="s">
        <v>3514</v>
      </c>
      <c r="F20" s="40" t="s">
        <v>1330</v>
      </c>
      <c r="G20" s="1" t="s">
        <v>2875</v>
      </c>
      <c r="H20" s="1" t="s">
        <v>2876</v>
      </c>
      <c r="I20" s="1" t="s">
        <v>91</v>
      </c>
      <c r="J20" s="1" t="s">
        <v>1333</v>
      </c>
    </row>
    <row r="21">
      <c r="A21" s="1" t="s">
        <v>1327</v>
      </c>
      <c r="B21" s="170" t="str">
        <f>IF(ISBLANK(A21),"",VLOOKUP(A21,DOI_URL!$B$1:$C$74,2,FALSE()))</f>
        <v>https://drive.google.com/file/d/1zV_8Fbi0FfBwVeqfLb5mP-YUSUtiumzC/view?usp=sharing</v>
      </c>
      <c r="C21" s="1" t="s">
        <v>3311</v>
      </c>
      <c r="D21" s="1" t="s">
        <v>3311</v>
      </c>
      <c r="E21" s="1" t="s">
        <v>3514</v>
      </c>
      <c r="F21" s="1" t="s">
        <v>1335</v>
      </c>
      <c r="G21" s="40" t="s">
        <v>1336</v>
      </c>
      <c r="H21" s="40" t="s">
        <v>2877</v>
      </c>
      <c r="I21" s="1" t="s">
        <v>54</v>
      </c>
      <c r="J21" s="1" t="s">
        <v>1333</v>
      </c>
    </row>
    <row r="22">
      <c r="A22" s="1" t="s">
        <v>1327</v>
      </c>
      <c r="B22" s="170" t="str">
        <f>IF(ISBLANK(A22),"",VLOOKUP(A22,DOI_URL!$B$1:$C$74,2,FALSE()))</f>
        <v>https://drive.google.com/file/d/1zV_8Fbi0FfBwVeqfLb5mP-YUSUtiumzC/view?usp=sharing</v>
      </c>
      <c r="C22" s="1" t="s">
        <v>3311</v>
      </c>
      <c r="D22" s="1" t="s">
        <v>3311</v>
      </c>
      <c r="E22" s="1" t="s">
        <v>3515</v>
      </c>
      <c r="F22" s="1" t="s">
        <v>1347</v>
      </c>
      <c r="G22" s="40" t="s">
        <v>1343</v>
      </c>
      <c r="H22" s="1" t="s">
        <v>1344</v>
      </c>
      <c r="I22" s="1" t="s">
        <v>44</v>
      </c>
      <c r="J22" s="1" t="s">
        <v>1333</v>
      </c>
    </row>
    <row r="23">
      <c r="A23" s="1" t="s">
        <v>1327</v>
      </c>
      <c r="B23" s="170" t="str">
        <f>IF(ISBLANK(A23),"",VLOOKUP(A23,DOI_URL!$B$1:$C$74,2,FALSE()))</f>
        <v>https://drive.google.com/file/d/1zV_8Fbi0FfBwVeqfLb5mP-YUSUtiumzC/view?usp=sharing</v>
      </c>
      <c r="C23" s="1" t="s">
        <v>3311</v>
      </c>
      <c r="D23" s="1" t="s">
        <v>3311</v>
      </c>
      <c r="E23" s="1" t="s">
        <v>3516</v>
      </c>
      <c r="F23" s="1" t="s">
        <v>1743</v>
      </c>
      <c r="G23" s="1" t="s">
        <v>719</v>
      </c>
      <c r="H23" s="1" t="s">
        <v>434</v>
      </c>
      <c r="I23" s="1" t="s">
        <v>39</v>
      </c>
      <c r="J23" s="1" t="s">
        <v>1333</v>
      </c>
    </row>
    <row r="24">
      <c r="A24" s="1" t="s">
        <v>1755</v>
      </c>
      <c r="B24" s="170" t="str">
        <f>IF(ISBLANK(A24),"",VLOOKUP(A24,DOI_URL!$B$1:$C$74,2,FALSE()))</f>
        <v>https://drive.google.com/file/d/18Um3M6VAiLZkosg9VJJmlLcqObGn4PGW/view?usp=sharing</v>
      </c>
      <c r="C24" s="1" t="s">
        <v>3311</v>
      </c>
      <c r="D24" s="1" t="s">
        <v>3311</v>
      </c>
      <c r="E24" s="1" t="s">
        <v>2058</v>
      </c>
      <c r="F24" s="1" t="s">
        <v>1757</v>
      </c>
      <c r="G24" s="1" t="s">
        <v>1758</v>
      </c>
      <c r="H24" s="1" t="s">
        <v>1524</v>
      </c>
      <c r="I24" s="1" t="s">
        <v>20</v>
      </c>
      <c r="J24" s="1" t="s">
        <v>938</v>
      </c>
    </row>
    <row r="25">
      <c r="A25" s="1" t="s">
        <v>1755</v>
      </c>
      <c r="B25" s="170" t="str">
        <f>IF(ISBLANK(A25),"",VLOOKUP(A25,DOI_URL!$B$1:$C$74,2,FALSE()))</f>
        <v>https://drive.google.com/file/d/18Um3M6VAiLZkosg9VJJmlLcqObGn4PGW/view?usp=sharing</v>
      </c>
      <c r="C25" s="1" t="s">
        <v>3311</v>
      </c>
      <c r="D25" s="1" t="s">
        <v>3311</v>
      </c>
      <c r="E25" s="1" t="s">
        <v>3517</v>
      </c>
      <c r="F25" s="1" t="s">
        <v>1757</v>
      </c>
      <c r="G25" s="1" t="s">
        <v>1760</v>
      </c>
      <c r="H25" s="1" t="s">
        <v>3069</v>
      </c>
      <c r="I25" s="1" t="s">
        <v>20</v>
      </c>
      <c r="J25" s="1" t="s">
        <v>938</v>
      </c>
    </row>
    <row r="26">
      <c r="A26" s="1" t="s">
        <v>1755</v>
      </c>
      <c r="B26" s="170" t="str">
        <f>IF(ISBLANK(A26),"",VLOOKUP(A26,DOI_URL!$B$1:$C$74,2,FALSE()))</f>
        <v>https://drive.google.com/file/d/18Um3M6VAiLZkosg9VJJmlLcqObGn4PGW/view?usp=sharing</v>
      </c>
      <c r="C26" s="1" t="s">
        <v>3311</v>
      </c>
      <c r="D26" s="1" t="s">
        <v>3311</v>
      </c>
      <c r="E26" s="1" t="s">
        <v>3518</v>
      </c>
      <c r="F26" s="1" t="s">
        <v>1764</v>
      </c>
      <c r="G26" s="1" t="s">
        <v>440</v>
      </c>
      <c r="H26" s="1" t="s">
        <v>434</v>
      </c>
      <c r="I26" s="1" t="s">
        <v>39</v>
      </c>
      <c r="J26" s="1" t="s">
        <v>938</v>
      </c>
    </row>
    <row r="27">
      <c r="A27" s="1" t="s">
        <v>1755</v>
      </c>
      <c r="B27" s="170" t="str">
        <f>IF(ISBLANK(A27),"",VLOOKUP(A27,DOI_URL!$B$1:$C$74,2,FALSE()))</f>
        <v>https://drive.google.com/file/d/18Um3M6VAiLZkosg9VJJmlLcqObGn4PGW/view?usp=sharing</v>
      </c>
      <c r="C27" s="1" t="s">
        <v>3311</v>
      </c>
      <c r="D27" s="1" t="s">
        <v>3311</v>
      </c>
      <c r="E27" s="1" t="s">
        <v>3519</v>
      </c>
      <c r="F27" s="1" t="s">
        <v>1766</v>
      </c>
      <c r="G27" s="1" t="s">
        <v>1767</v>
      </c>
      <c r="H27" s="1" t="s">
        <v>434</v>
      </c>
      <c r="I27" s="1" t="s">
        <v>39</v>
      </c>
      <c r="J27" s="1" t="s">
        <v>938</v>
      </c>
    </row>
    <row r="28">
      <c r="A28" s="1" t="s">
        <v>424</v>
      </c>
      <c r="B28" s="170" t="str">
        <f>IF(ISBLANK(A28),"",VLOOKUP(A28,DOI_URL!$B$1:$C$74,2,FALSE()))</f>
        <v>https://drive.google.com/file/d/1z9HhRKuFqf5E7-1E_EHMrXTmEOK87hCX/view?usp=sharing</v>
      </c>
      <c r="C28" s="1" t="s">
        <v>3311</v>
      </c>
      <c r="D28" s="1" t="s">
        <v>3311</v>
      </c>
      <c r="E28" s="1" t="s">
        <v>2430</v>
      </c>
      <c r="F28" s="1" t="s">
        <v>2431</v>
      </c>
      <c r="G28" s="1" t="s">
        <v>2432</v>
      </c>
      <c r="H28" s="1" t="s">
        <v>2433</v>
      </c>
      <c r="I28" s="1" t="s">
        <v>39</v>
      </c>
      <c r="J28" s="1" t="s">
        <v>428</v>
      </c>
    </row>
    <row r="29">
      <c r="A29" s="1" t="s">
        <v>424</v>
      </c>
      <c r="B29" s="170" t="str">
        <f>IF(ISBLANK(A29),"",VLOOKUP(A29,DOI_URL!$B$1:$C$74,2,FALSE()))</f>
        <v>https://drive.google.com/file/d/1z9HhRKuFqf5E7-1E_EHMrXTmEOK87hCX/view?usp=sharing</v>
      </c>
      <c r="C29" s="1" t="s">
        <v>3311</v>
      </c>
      <c r="D29" s="1" t="s">
        <v>3311</v>
      </c>
      <c r="E29" s="1" t="s">
        <v>2434</v>
      </c>
      <c r="G29" s="1" t="s">
        <v>2435</v>
      </c>
      <c r="H29" s="1" t="s">
        <v>434</v>
      </c>
      <c r="I29" s="1" t="s">
        <v>39</v>
      </c>
      <c r="J29" s="1" t="s">
        <v>428</v>
      </c>
    </row>
    <row r="30">
      <c r="A30" s="1" t="s">
        <v>424</v>
      </c>
      <c r="B30" s="170" t="str">
        <f>IF(ISBLANK(A30),"",VLOOKUP(A30,DOI_URL!$B$1:$C$74,2,FALSE()))</f>
        <v>https://drive.google.com/file/d/1z9HhRKuFqf5E7-1E_EHMrXTmEOK87hCX/view?usp=sharing</v>
      </c>
      <c r="C30" s="1" t="s">
        <v>3311</v>
      </c>
      <c r="D30" s="1" t="s">
        <v>3311</v>
      </c>
      <c r="E30" s="1" t="s">
        <v>2434</v>
      </c>
      <c r="F30" s="1" t="s">
        <v>435</v>
      </c>
      <c r="G30" s="1" t="s">
        <v>436</v>
      </c>
      <c r="I30" s="1" t="s">
        <v>54</v>
      </c>
      <c r="J30" s="1" t="s">
        <v>428</v>
      </c>
    </row>
    <row r="31">
      <c r="A31" s="1" t="s">
        <v>424</v>
      </c>
      <c r="B31" s="170" t="str">
        <f>IF(ISBLANK(A31),"",VLOOKUP(A31,DOI_URL!$B$1:$C$74,2,FALSE()))</f>
        <v>https://drive.google.com/file/d/1z9HhRKuFqf5E7-1E_EHMrXTmEOK87hCX/view?usp=sharing</v>
      </c>
      <c r="C31" s="1" t="s">
        <v>3311</v>
      </c>
      <c r="D31" s="1" t="s">
        <v>3311</v>
      </c>
      <c r="E31" s="1" t="s">
        <v>2434</v>
      </c>
      <c r="F31" s="1" t="s">
        <v>439</v>
      </c>
      <c r="G31" s="1" t="s">
        <v>440</v>
      </c>
      <c r="H31" s="1" t="s">
        <v>434</v>
      </c>
      <c r="I31" s="1" t="s">
        <v>39</v>
      </c>
      <c r="J31" s="1" t="s">
        <v>428</v>
      </c>
    </row>
    <row r="32">
      <c r="A32" s="1" t="s">
        <v>424</v>
      </c>
      <c r="B32" s="170" t="str">
        <f>IF(ISBLANK(A32),"",VLOOKUP(A32,DOI_URL!$B$1:$C$74,2,FALSE()))</f>
        <v>https://drive.google.com/file/d/1z9HhRKuFqf5E7-1E_EHMrXTmEOK87hCX/view?usp=sharing</v>
      </c>
      <c r="C32" s="1" t="s">
        <v>3311</v>
      </c>
      <c r="D32" s="1" t="s">
        <v>3311</v>
      </c>
      <c r="E32" s="1" t="s">
        <v>2436</v>
      </c>
      <c r="F32" s="1" t="s">
        <v>442</v>
      </c>
      <c r="G32" s="40" t="s">
        <v>443</v>
      </c>
      <c r="I32" s="1" t="s">
        <v>54</v>
      </c>
      <c r="J32" s="1" t="s">
        <v>428</v>
      </c>
    </row>
    <row r="33">
      <c r="A33" s="1" t="s">
        <v>424</v>
      </c>
      <c r="B33" s="170" t="str">
        <f>IF(ISBLANK(A33),"",VLOOKUP(A33,DOI_URL!$B$1:$C$74,2,FALSE()))</f>
        <v>https://drive.google.com/file/d/1z9HhRKuFqf5E7-1E_EHMrXTmEOK87hCX/view?usp=sharing</v>
      </c>
      <c r="C33" s="1" t="s">
        <v>3311</v>
      </c>
      <c r="D33" s="1" t="s">
        <v>3311</v>
      </c>
      <c r="E33" s="1" t="s">
        <v>2437</v>
      </c>
      <c r="G33" s="1" t="s">
        <v>446</v>
      </c>
      <c r="H33" s="1" t="s">
        <v>447</v>
      </c>
      <c r="I33" s="1" t="s">
        <v>44</v>
      </c>
      <c r="J33" s="1" t="s">
        <v>428</v>
      </c>
    </row>
    <row r="34">
      <c r="A34" s="1" t="s">
        <v>1520</v>
      </c>
      <c r="B34" s="170" t="str">
        <f>IF(ISBLANK(A34),"",VLOOKUP(A34,DOI_URL!$B$1:$C$74,2,FALSE()))</f>
        <v>https://drive.google.com/file/d/11Qm0o3ST2VDTbqiO_k1czLAuca-8mgrO/view?usp=sharing</v>
      </c>
      <c r="C34" s="1" t="s">
        <v>3311</v>
      </c>
      <c r="D34" s="1" t="s">
        <v>3311</v>
      </c>
      <c r="E34" s="1" t="s">
        <v>3520</v>
      </c>
      <c r="F34" s="1" t="s">
        <v>11</v>
      </c>
      <c r="G34" s="1" t="s">
        <v>455</v>
      </c>
      <c r="H34" s="1" t="s">
        <v>447</v>
      </c>
      <c r="I34" s="1" t="s">
        <v>44</v>
      </c>
      <c r="J34" s="1" t="s">
        <v>1522</v>
      </c>
    </row>
    <row r="35">
      <c r="A35" s="1" t="s">
        <v>1520</v>
      </c>
      <c r="B35" s="170" t="str">
        <f>IF(ISBLANK(A35),"",VLOOKUP(A35,DOI_URL!$B$1:$C$74,2,FALSE()))</f>
        <v>https://drive.google.com/file/d/11Qm0o3ST2VDTbqiO_k1czLAuca-8mgrO/view?usp=sharing</v>
      </c>
      <c r="C35" s="1" t="s">
        <v>3311</v>
      </c>
      <c r="D35" s="1" t="s">
        <v>3311</v>
      </c>
      <c r="E35" s="1" t="s">
        <v>3520</v>
      </c>
      <c r="F35" s="1" t="s">
        <v>11</v>
      </c>
      <c r="G35" s="1" t="s">
        <v>3005</v>
      </c>
      <c r="H35" s="1" t="s">
        <v>1524</v>
      </c>
      <c r="I35" s="1" t="s">
        <v>20</v>
      </c>
      <c r="J35" s="1" t="s">
        <v>1522</v>
      </c>
    </row>
    <row r="36">
      <c r="A36" s="1" t="s">
        <v>1520</v>
      </c>
      <c r="B36" s="170" t="str">
        <f>IF(ISBLANK(A36),"",VLOOKUP(A36,DOI_URL!$B$1:$C$74,2,FALSE()))</f>
        <v>https://drive.google.com/file/d/11Qm0o3ST2VDTbqiO_k1czLAuca-8mgrO/view?usp=sharing</v>
      </c>
      <c r="C36" s="1" t="s">
        <v>3311</v>
      </c>
      <c r="D36" s="1" t="s">
        <v>3311</v>
      </c>
      <c r="E36" s="1" t="s">
        <v>3521</v>
      </c>
      <c r="F36" s="1" t="s">
        <v>1548</v>
      </c>
      <c r="G36" s="1" t="s">
        <v>719</v>
      </c>
      <c r="H36" s="1" t="s">
        <v>434</v>
      </c>
      <c r="I36" s="1" t="s">
        <v>39</v>
      </c>
      <c r="J36" s="1" t="s">
        <v>1522</v>
      </c>
    </row>
    <row r="37">
      <c r="A37" s="1" t="s">
        <v>1520</v>
      </c>
      <c r="B37" s="170" t="str">
        <f>IF(ISBLANK(A37),"",VLOOKUP(A37,DOI_URL!$B$1:$C$74,2,FALSE()))</f>
        <v>https://drive.google.com/file/d/11Qm0o3ST2VDTbqiO_k1czLAuca-8mgrO/view?usp=sharing</v>
      </c>
      <c r="C37" s="1" t="s">
        <v>3311</v>
      </c>
      <c r="D37" s="1" t="s">
        <v>3311</v>
      </c>
      <c r="E37" s="1" t="s">
        <v>3521</v>
      </c>
      <c r="F37" s="1" t="s">
        <v>1548</v>
      </c>
      <c r="G37" s="1" t="s">
        <v>3011</v>
      </c>
      <c r="H37" s="1" t="s">
        <v>434</v>
      </c>
      <c r="I37" s="1" t="s">
        <v>39</v>
      </c>
      <c r="J37" s="1" t="s">
        <v>1522</v>
      </c>
    </row>
    <row r="38">
      <c r="A38" s="1" t="s">
        <v>1520</v>
      </c>
      <c r="B38" s="170" t="str">
        <f>IF(ISBLANK(A38),"",VLOOKUP(A38,DOI_URL!$B$1:$C$74,2,FALSE()))</f>
        <v>https://drive.google.com/file/d/11Qm0o3ST2VDTbqiO_k1czLAuca-8mgrO/view?usp=sharing</v>
      </c>
      <c r="C38" s="1" t="s">
        <v>3311</v>
      </c>
      <c r="D38" s="1" t="s">
        <v>3311</v>
      </c>
      <c r="E38" s="1" t="s">
        <v>3522</v>
      </c>
      <c r="F38" s="1" t="s">
        <v>1554</v>
      </c>
      <c r="G38" s="40" t="s">
        <v>3009</v>
      </c>
      <c r="H38" s="1" t="s">
        <v>3010</v>
      </c>
      <c r="I38" s="1" t="s">
        <v>20</v>
      </c>
      <c r="J38" s="1" t="s">
        <v>1522</v>
      </c>
    </row>
    <row r="39">
      <c r="A39" s="1" t="s">
        <v>1520</v>
      </c>
      <c r="B39" s="170" t="str">
        <f>IF(ISBLANK(A39),"",VLOOKUP(A39,DOI_URL!$B$1:$C$74,2,FALSE()))</f>
        <v>https://drive.google.com/file/d/11Qm0o3ST2VDTbqiO_k1czLAuca-8mgrO/view?usp=sharing</v>
      </c>
      <c r="C39" s="1" t="s">
        <v>3311</v>
      </c>
      <c r="D39" s="1" t="s">
        <v>3311</v>
      </c>
      <c r="E39" s="1" t="s">
        <v>3522</v>
      </c>
      <c r="G39" s="1" t="s">
        <v>3012</v>
      </c>
      <c r="I39" s="1" t="s">
        <v>54</v>
      </c>
      <c r="J39" s="1" t="s">
        <v>1522</v>
      </c>
    </row>
    <row r="40">
      <c r="A40" s="1" t="s">
        <v>1520</v>
      </c>
      <c r="B40" s="170" t="str">
        <f>IF(ISBLANK(A40),"",VLOOKUP(A40,DOI_URL!$B$1:$C$74,2,FALSE()))</f>
        <v>https://drive.google.com/file/d/11Qm0o3ST2VDTbqiO_k1czLAuca-8mgrO/view?usp=sharing</v>
      </c>
      <c r="C40" s="1" t="s">
        <v>3311</v>
      </c>
      <c r="D40" s="1" t="s">
        <v>3311</v>
      </c>
      <c r="E40" s="1" t="s">
        <v>3522</v>
      </c>
      <c r="G40" s="1" t="s">
        <v>3013</v>
      </c>
      <c r="I40" s="1" t="s">
        <v>54</v>
      </c>
      <c r="J40" s="1" t="s">
        <v>1522</v>
      </c>
    </row>
    <row r="41">
      <c r="A41" s="1" t="s">
        <v>1520</v>
      </c>
      <c r="B41" s="170" t="str">
        <f>IF(ISBLANK(A41),"",VLOOKUP(A41,DOI_URL!$B$1:$C$74,2,FALSE()))</f>
        <v>https://drive.google.com/file/d/11Qm0o3ST2VDTbqiO_k1czLAuca-8mgrO/view?usp=sharing</v>
      </c>
      <c r="C41" s="1" t="s">
        <v>3311</v>
      </c>
      <c r="D41" s="1" t="s">
        <v>3311</v>
      </c>
      <c r="E41" s="1" t="s">
        <v>3522</v>
      </c>
      <c r="G41" s="1" t="s">
        <v>3014</v>
      </c>
      <c r="I41" s="1" t="s">
        <v>54</v>
      </c>
      <c r="J41" s="1" t="s">
        <v>1522</v>
      </c>
    </row>
    <row r="42">
      <c r="A42" s="1" t="s">
        <v>1520</v>
      </c>
      <c r="B42" s="170" t="str">
        <f>IF(ISBLANK(A42),"",VLOOKUP(A42,DOI_URL!$B$1:$C$74,2,FALSE()))</f>
        <v>https://drive.google.com/file/d/11Qm0o3ST2VDTbqiO_k1czLAuca-8mgrO/view?usp=sharing</v>
      </c>
      <c r="C42" s="1" t="s">
        <v>3311</v>
      </c>
      <c r="D42" s="1" t="s">
        <v>3311</v>
      </c>
      <c r="E42" s="1" t="s">
        <v>3522</v>
      </c>
      <c r="G42" s="1" t="s">
        <v>3015</v>
      </c>
      <c r="I42" s="1" t="s">
        <v>54</v>
      </c>
      <c r="J42" s="1" t="s">
        <v>1522</v>
      </c>
    </row>
    <row r="43">
      <c r="A43" s="1" t="s">
        <v>1520</v>
      </c>
      <c r="B43" s="170" t="str">
        <f>IF(ISBLANK(A43),"",VLOOKUP(A43,DOI_URL!$B$1:$C$74,2,FALSE()))</f>
        <v>https://drive.google.com/file/d/11Qm0o3ST2VDTbqiO_k1czLAuca-8mgrO/view?usp=sharing</v>
      </c>
      <c r="C43" s="1" t="s">
        <v>3311</v>
      </c>
      <c r="D43" s="1" t="s">
        <v>3311</v>
      </c>
      <c r="E43" s="1" t="s">
        <v>3522</v>
      </c>
      <c r="G43" s="1" t="s">
        <v>2668</v>
      </c>
      <c r="I43" s="1" t="s">
        <v>54</v>
      </c>
      <c r="J43" s="1" t="s">
        <v>1522</v>
      </c>
    </row>
    <row r="44">
      <c r="A44" s="1" t="s">
        <v>448</v>
      </c>
      <c r="B44" s="170" t="str">
        <f>IF(ISBLANK(A44),"",VLOOKUP(A44,DOI_URL!$B$1:$C$74,2,FALSE()))</f>
        <v>https://drive.google.com/file/d/1bE3l-rUYJ3NulRPwyvw9ZbgjFlRsuuxg/view?usp=sharing</v>
      </c>
      <c r="C44" s="1" t="s">
        <v>3311</v>
      </c>
      <c r="D44" s="1" t="s">
        <v>3311</v>
      </c>
      <c r="E44" s="1" t="s">
        <v>2442</v>
      </c>
      <c r="F44" s="1" t="s">
        <v>454</v>
      </c>
      <c r="G44" s="1" t="s">
        <v>455</v>
      </c>
      <c r="H44" s="1" t="s">
        <v>456</v>
      </c>
      <c r="I44" s="1" t="s">
        <v>44</v>
      </c>
      <c r="J44" s="1" t="s">
        <v>457</v>
      </c>
    </row>
    <row r="45">
      <c r="A45" s="1" t="s">
        <v>448</v>
      </c>
      <c r="B45" s="170" t="str">
        <f>IF(ISBLANK(A45),"",VLOOKUP(A45,DOI_URL!$B$1:$C$74,2,FALSE()))</f>
        <v>https://drive.google.com/file/d/1bE3l-rUYJ3NulRPwyvw9ZbgjFlRsuuxg/view?usp=sharing</v>
      </c>
      <c r="C45" s="1" t="s">
        <v>3311</v>
      </c>
      <c r="D45" s="1" t="s">
        <v>3311</v>
      </c>
      <c r="E45" s="1" t="s">
        <v>2445</v>
      </c>
      <c r="G45" s="1" t="s">
        <v>2446</v>
      </c>
      <c r="I45" s="1" t="s">
        <v>54</v>
      </c>
      <c r="J45" s="1" t="s">
        <v>457</v>
      </c>
    </row>
    <row r="46">
      <c r="A46" s="1" t="s">
        <v>448</v>
      </c>
      <c r="B46" s="170" t="str">
        <f>IF(ISBLANK(A46),"",VLOOKUP(A46,DOI_URL!$B$1:$C$74,2,FALSE()))</f>
        <v>https://drive.google.com/file/d/1bE3l-rUYJ3NulRPwyvw9ZbgjFlRsuuxg/view?usp=sharing</v>
      </c>
      <c r="C46" s="1" t="s">
        <v>3311</v>
      </c>
      <c r="D46" s="1" t="s">
        <v>3311</v>
      </c>
      <c r="E46" s="1" t="s">
        <v>2447</v>
      </c>
      <c r="F46" s="1" t="s">
        <v>2448</v>
      </c>
      <c r="G46" s="1" t="s">
        <v>2449</v>
      </c>
      <c r="H46" s="1" t="s">
        <v>434</v>
      </c>
      <c r="I46" s="1" t="s">
        <v>44</v>
      </c>
      <c r="J46" s="1" t="s">
        <v>457</v>
      </c>
    </row>
    <row r="47">
      <c r="A47" s="1" t="s">
        <v>448</v>
      </c>
      <c r="B47" s="170" t="str">
        <f>IF(ISBLANK(A47),"",VLOOKUP(A47,DOI_URL!$B$1:$C$74,2,FALSE()))</f>
        <v>https://drive.google.com/file/d/1bE3l-rUYJ3NulRPwyvw9ZbgjFlRsuuxg/view?usp=sharing</v>
      </c>
      <c r="C47" s="1" t="s">
        <v>3311</v>
      </c>
      <c r="D47" s="1" t="s">
        <v>3311</v>
      </c>
      <c r="E47" s="1" t="s">
        <v>2450</v>
      </c>
      <c r="F47" s="1" t="s">
        <v>11</v>
      </c>
      <c r="G47" s="1" t="s">
        <v>2451</v>
      </c>
      <c r="I47" s="1" t="s">
        <v>54</v>
      </c>
      <c r="J47" s="1" t="s">
        <v>457</v>
      </c>
    </row>
    <row r="48">
      <c r="A48" s="1" t="s">
        <v>448</v>
      </c>
      <c r="B48" s="170" t="str">
        <f>IF(ISBLANK(A48),"",VLOOKUP(A48,DOI_URL!$B$1:$C$74,2,FALSE()))</f>
        <v>https://drive.google.com/file/d/1bE3l-rUYJ3NulRPwyvw9ZbgjFlRsuuxg/view?usp=sharing</v>
      </c>
      <c r="C48" s="1" t="s">
        <v>3311</v>
      </c>
      <c r="D48" s="1" t="s">
        <v>3311</v>
      </c>
      <c r="E48" s="1" t="s">
        <v>2450</v>
      </c>
      <c r="F48" s="1" t="s">
        <v>11</v>
      </c>
      <c r="G48" s="1" t="s">
        <v>1760</v>
      </c>
      <c r="I48" s="1" t="s">
        <v>54</v>
      </c>
      <c r="J48" s="1" t="s">
        <v>457</v>
      </c>
    </row>
    <row r="49">
      <c r="A49" s="1" t="s">
        <v>448</v>
      </c>
      <c r="B49" s="170" t="str">
        <f>IF(ISBLANK(A49),"",VLOOKUP(A49,DOI_URL!$B$1:$C$74,2,FALSE()))</f>
        <v>https://drive.google.com/file/d/1bE3l-rUYJ3NulRPwyvw9ZbgjFlRsuuxg/view?usp=sharing</v>
      </c>
      <c r="C49" s="1" t="s">
        <v>3311</v>
      </c>
      <c r="D49" s="1" t="s">
        <v>3311</v>
      </c>
      <c r="E49" s="1" t="s">
        <v>2450</v>
      </c>
      <c r="F49" s="1" t="s">
        <v>11</v>
      </c>
      <c r="G49" s="1" t="s">
        <v>2455</v>
      </c>
      <c r="I49" s="1" t="s">
        <v>54</v>
      </c>
      <c r="J49" s="1" t="s">
        <v>457</v>
      </c>
    </row>
    <row r="50">
      <c r="A50" s="1" t="s">
        <v>448</v>
      </c>
      <c r="B50" s="170" t="str">
        <f>IF(ISBLANK(A50),"",VLOOKUP(A50,DOI_URL!$B$1:$C$74,2,FALSE()))</f>
        <v>https://drive.google.com/file/d/1bE3l-rUYJ3NulRPwyvw9ZbgjFlRsuuxg/view?usp=sharing</v>
      </c>
      <c r="C50" s="1" t="s">
        <v>3311</v>
      </c>
      <c r="D50" s="1" t="s">
        <v>3311</v>
      </c>
      <c r="E50" s="1" t="s">
        <v>2450</v>
      </c>
      <c r="F50" s="1" t="s">
        <v>11</v>
      </c>
      <c r="G50" s="1" t="s">
        <v>2457</v>
      </c>
      <c r="I50" s="1" t="s">
        <v>54</v>
      </c>
      <c r="J50" s="1" t="s">
        <v>457</v>
      </c>
    </row>
    <row r="51">
      <c r="A51" s="1" t="s">
        <v>448</v>
      </c>
      <c r="B51" s="170" t="str">
        <f>IF(ISBLANK(A51),"",VLOOKUP(A51,DOI_URL!$B$1:$C$74,2,FALSE()))</f>
        <v>https://drive.google.com/file/d/1bE3l-rUYJ3NulRPwyvw9ZbgjFlRsuuxg/view?usp=sharing</v>
      </c>
      <c r="C51" s="1" t="s">
        <v>3311</v>
      </c>
      <c r="D51" s="1" t="s">
        <v>3311</v>
      </c>
      <c r="E51" s="1" t="s">
        <v>2458</v>
      </c>
      <c r="F51" s="1" t="s">
        <v>11</v>
      </c>
      <c r="G51" s="1" t="s">
        <v>477</v>
      </c>
      <c r="H51" s="1" t="s">
        <v>434</v>
      </c>
      <c r="I51" s="1" t="s">
        <v>39</v>
      </c>
      <c r="J51" s="1" t="s">
        <v>457</v>
      </c>
    </row>
    <row r="52">
      <c r="A52" s="1" t="s">
        <v>1030</v>
      </c>
      <c r="B52" s="170" t="str">
        <f>IF(ISBLANK(A52),"",VLOOKUP(A52,DOI_URL!$B$1:$C$74,2,FALSE()))</f>
        <v>https://drive.google.com/file/d/14Qwt8ng0e_U2xaA90g1OkndxdiT9TFqh/view?usp=sharing</v>
      </c>
      <c r="C52" s="1" t="s">
        <v>3311</v>
      </c>
      <c r="D52" s="1" t="s">
        <v>3311</v>
      </c>
      <c r="E52" s="1" t="s">
        <v>3523</v>
      </c>
      <c r="F52" s="1" t="s">
        <v>1047</v>
      </c>
      <c r="G52" s="1" t="s">
        <v>1048</v>
      </c>
      <c r="H52" s="40" t="s">
        <v>1049</v>
      </c>
      <c r="I52" s="1" t="s">
        <v>20</v>
      </c>
      <c r="J52" s="1" t="s">
        <v>452</v>
      </c>
    </row>
    <row r="53">
      <c r="A53" s="1" t="s">
        <v>1030</v>
      </c>
      <c r="B53" s="170" t="str">
        <f>IF(ISBLANK(A53),"",VLOOKUP(A53,DOI_URL!$B$1:$C$74,2,FALSE()))</f>
        <v>https://drive.google.com/file/d/14Qwt8ng0e_U2xaA90g1OkndxdiT9TFqh/view?usp=sharing</v>
      </c>
      <c r="C53" s="1" t="s">
        <v>3311</v>
      </c>
      <c r="D53" s="1" t="s">
        <v>3311</v>
      </c>
      <c r="E53" s="1" t="s">
        <v>3524</v>
      </c>
      <c r="F53" s="1" t="s">
        <v>2699</v>
      </c>
      <c r="G53" s="1" t="s">
        <v>2700</v>
      </c>
      <c r="H53" s="1" t="s">
        <v>2701</v>
      </c>
      <c r="I53" s="1" t="s">
        <v>54</v>
      </c>
      <c r="J53" s="1" t="s">
        <v>452</v>
      </c>
    </row>
    <row r="54">
      <c r="A54" s="1" t="s">
        <v>1030</v>
      </c>
      <c r="B54" s="170" t="str">
        <f>IF(ISBLANK(A54),"",VLOOKUP(A54,DOI_URL!$B$1:$C$74,2,FALSE()))</f>
        <v>https://drive.google.com/file/d/14Qwt8ng0e_U2xaA90g1OkndxdiT9TFqh/view?usp=sharing</v>
      </c>
      <c r="C54" s="1" t="s">
        <v>3311</v>
      </c>
      <c r="D54" s="1" t="s">
        <v>3311</v>
      </c>
      <c r="E54" s="1" t="s">
        <v>3525</v>
      </c>
      <c r="F54" s="1" t="s">
        <v>1056</v>
      </c>
      <c r="G54" s="1" t="s">
        <v>719</v>
      </c>
      <c r="H54" s="1" t="s">
        <v>434</v>
      </c>
      <c r="I54" s="1" t="s">
        <v>39</v>
      </c>
      <c r="J54" s="1" t="s">
        <v>452</v>
      </c>
    </row>
    <row r="55">
      <c r="A55" s="1" t="s">
        <v>1030</v>
      </c>
      <c r="B55" s="170" t="str">
        <f>IF(ISBLANK(A55),"",VLOOKUP(A55,DOI_URL!$B$1:$C$74,2,FALSE()))</f>
        <v>https://drive.google.com/file/d/14Qwt8ng0e_U2xaA90g1OkndxdiT9TFqh/view?usp=sharing</v>
      </c>
      <c r="C55" s="1" t="s">
        <v>3311</v>
      </c>
      <c r="D55" s="1" t="s">
        <v>3311</v>
      </c>
      <c r="E55" s="1" t="s">
        <v>3526</v>
      </c>
      <c r="F55" s="1" t="s">
        <v>2703</v>
      </c>
      <c r="G55" s="1" t="s">
        <v>2704</v>
      </c>
      <c r="H55" s="1" t="s">
        <v>2705</v>
      </c>
      <c r="I55" s="1" t="s">
        <v>44</v>
      </c>
      <c r="J55" s="1" t="s">
        <v>452</v>
      </c>
    </row>
    <row r="56">
      <c r="A56" s="1" t="s">
        <v>1030</v>
      </c>
      <c r="B56" s="170" t="str">
        <f>IF(ISBLANK(A56),"",VLOOKUP(A56,DOI_URL!$B$1:$C$74,2,FALSE()))</f>
        <v>https://drive.google.com/file/d/14Qwt8ng0e_U2xaA90g1OkndxdiT9TFqh/view?usp=sharing</v>
      </c>
      <c r="C56" s="1" t="s">
        <v>3311</v>
      </c>
      <c r="D56" s="1" t="s">
        <v>3311</v>
      </c>
      <c r="E56" s="1" t="s">
        <v>3525</v>
      </c>
      <c r="F56" s="1" t="s">
        <v>1554</v>
      </c>
      <c r="G56" s="1" t="s">
        <v>2706</v>
      </c>
      <c r="H56" s="1" t="s">
        <v>2707</v>
      </c>
      <c r="I56" s="1" t="s">
        <v>39</v>
      </c>
      <c r="J56" s="1" t="s">
        <v>452</v>
      </c>
    </row>
    <row r="57">
      <c r="A57" s="1" t="s">
        <v>1287</v>
      </c>
      <c r="B57" s="170" t="str">
        <f>IF(ISBLANK(A57),"",VLOOKUP(A57,DOI_URL!$B$1:$C$74,2,FALSE()))</f>
        <v>https://drive.google.com/file/d/1409ImvCbGnSio2ZwVzD64XXyjXKWrvhz/view?usp=sharing</v>
      </c>
      <c r="C57" s="1" t="s">
        <v>3309</v>
      </c>
      <c r="D57" s="8"/>
      <c r="I57" s="8"/>
      <c r="J57" s="8"/>
      <c r="K57" s="40" t="s">
        <v>3527</v>
      </c>
    </row>
    <row r="58">
      <c r="A58" s="1" t="s">
        <v>973</v>
      </c>
      <c r="B58" s="170" t="str">
        <f>IF(ISBLANK(A58),"",VLOOKUP(A58,DOI_URL!$B$1:$C$74,2,FALSE()))</f>
        <v>https://drive.google.com/file/d/1lzQxE7Lznh7QCyVfnpvQMLtOojWtVIMB/view?usp=sharing</v>
      </c>
      <c r="C58" s="1" t="s">
        <v>3311</v>
      </c>
      <c r="D58" s="1" t="s">
        <v>3311</v>
      </c>
      <c r="E58" s="1" t="s">
        <v>2678</v>
      </c>
      <c r="G58" s="40" t="s">
        <v>2679</v>
      </c>
      <c r="I58" s="1" t="s">
        <v>91</v>
      </c>
      <c r="J58" s="1" t="s">
        <v>372</v>
      </c>
    </row>
    <row r="59">
      <c r="A59" s="1" t="s">
        <v>973</v>
      </c>
      <c r="B59" s="170" t="str">
        <f>IF(ISBLANK(A59),"",VLOOKUP(A59,DOI_URL!$B$1:$C$74,2,FALSE()))</f>
        <v>https://drive.google.com/file/d/1lzQxE7Lznh7QCyVfnpvQMLtOojWtVIMB/view?usp=sharing</v>
      </c>
      <c r="C59" s="1" t="s">
        <v>3311</v>
      </c>
      <c r="D59" s="1" t="s">
        <v>3311</v>
      </c>
      <c r="E59" s="1" t="s">
        <v>3528</v>
      </c>
      <c r="G59" s="1" t="s">
        <v>975</v>
      </c>
      <c r="H59" s="1" t="s">
        <v>434</v>
      </c>
      <c r="I59" s="1" t="s">
        <v>39</v>
      </c>
      <c r="J59" s="1" t="s">
        <v>372</v>
      </c>
    </row>
    <row r="60">
      <c r="A60" s="1" t="s">
        <v>2203</v>
      </c>
      <c r="B60" s="170" t="str">
        <f>IF(ISBLANK(A60),"",VLOOKUP(A60,DOI_URL!$B$1:$C$74,2,FALSE()))</f>
        <v>https://drive.google.com/file/d/1HGBrJ57s3yFehUjGpy7PmHiO0xmOq2E5/view?usp=sharing</v>
      </c>
      <c r="C60" s="1" t="s">
        <v>3311</v>
      </c>
      <c r="D60" s="1" t="s">
        <v>3311</v>
      </c>
      <c r="E60" s="1" t="s">
        <v>3529</v>
      </c>
      <c r="F60" s="1" t="s">
        <v>2838</v>
      </c>
      <c r="G60" s="1" t="s">
        <v>2839</v>
      </c>
      <c r="H60" s="1" t="s">
        <v>2840</v>
      </c>
      <c r="I60" s="1" t="s">
        <v>54</v>
      </c>
      <c r="J60" s="1" t="s">
        <v>1780</v>
      </c>
    </row>
    <row r="61">
      <c r="A61" s="1" t="s">
        <v>2203</v>
      </c>
      <c r="B61" s="170" t="str">
        <f>IF(ISBLANK(A61),"",VLOOKUP(A61,DOI_URL!$B$1:$C$74,2,FALSE()))</f>
        <v>https://drive.google.com/file/d/1HGBrJ57s3yFehUjGpy7PmHiO0xmOq2E5/view?usp=sharing</v>
      </c>
      <c r="C61" s="1" t="s">
        <v>3311</v>
      </c>
      <c r="D61" s="1" t="s">
        <v>3311</v>
      </c>
      <c r="E61" s="1" t="s">
        <v>3530</v>
      </c>
      <c r="F61" s="1" t="s">
        <v>2836</v>
      </c>
      <c r="G61" s="1" t="s">
        <v>2844</v>
      </c>
      <c r="H61" s="1" t="s">
        <v>434</v>
      </c>
      <c r="I61" s="1" t="s">
        <v>39</v>
      </c>
      <c r="J61" s="1" t="s">
        <v>1780</v>
      </c>
    </row>
    <row r="62">
      <c r="A62" s="1" t="s">
        <v>2203</v>
      </c>
      <c r="B62" s="170" t="str">
        <f>IF(ISBLANK(A62),"",VLOOKUP(A62,DOI_URL!$B$1:$C$74,2,FALSE()))</f>
        <v>https://drive.google.com/file/d/1HGBrJ57s3yFehUjGpy7PmHiO0xmOq2E5/view?usp=sharing</v>
      </c>
      <c r="C62" s="1" t="s">
        <v>3311</v>
      </c>
      <c r="D62" s="1" t="s">
        <v>3311</v>
      </c>
      <c r="E62" s="1" t="s">
        <v>3531</v>
      </c>
      <c r="G62" s="1" t="s">
        <v>2842</v>
      </c>
      <c r="H62" s="1" t="s">
        <v>434</v>
      </c>
      <c r="I62" s="1" t="s">
        <v>39</v>
      </c>
      <c r="J62" s="1" t="s">
        <v>1780</v>
      </c>
    </row>
    <row r="63">
      <c r="A63" s="1" t="s">
        <v>64</v>
      </c>
      <c r="B63" s="170" t="str">
        <f>IF(ISBLANK(A63),"",VLOOKUP(A63,DOI_URL!$B$1:$C$74,2,FALSE()))</f>
        <v>https://drive.google.com/file/d/108selP15cGxfsgDTiz8MuvWHVM-GJYA5/view?usp=sharing</v>
      </c>
      <c r="C63" s="1" t="s">
        <v>3311</v>
      </c>
      <c r="D63" s="1" t="s">
        <v>3311</v>
      </c>
      <c r="E63" s="1" t="s">
        <v>2254</v>
      </c>
      <c r="F63" s="1" t="s">
        <v>2255</v>
      </c>
      <c r="G63" s="1" t="s">
        <v>2256</v>
      </c>
      <c r="H63" s="1" t="s">
        <v>2257</v>
      </c>
      <c r="I63" s="1" t="s">
        <v>44</v>
      </c>
      <c r="J63" s="1" t="s">
        <v>69</v>
      </c>
    </row>
    <row r="64">
      <c r="A64" s="1" t="s">
        <v>64</v>
      </c>
      <c r="B64" s="170" t="str">
        <f>IF(ISBLANK(A64),"",VLOOKUP(A64,DOI_URL!$B$1:$C$74,2,FALSE()))</f>
        <v>https://drive.google.com/file/d/108selP15cGxfsgDTiz8MuvWHVM-GJYA5/view?usp=sharing</v>
      </c>
      <c r="C64" s="1" t="s">
        <v>3311</v>
      </c>
      <c r="D64" s="1" t="s">
        <v>3311</v>
      </c>
      <c r="E64" s="1" t="s">
        <v>2259</v>
      </c>
      <c r="F64" s="1" t="s">
        <v>2260</v>
      </c>
      <c r="G64" s="1" t="s">
        <v>2261</v>
      </c>
      <c r="I64" s="1" t="s">
        <v>54</v>
      </c>
      <c r="J64" s="1" t="s">
        <v>69</v>
      </c>
    </row>
    <row r="65">
      <c r="A65" s="1" t="s">
        <v>64</v>
      </c>
      <c r="B65" s="170" t="str">
        <f>IF(ISBLANK(A65),"",VLOOKUP(A65,DOI_URL!$B$1:$C$74,2,FALSE()))</f>
        <v>https://drive.google.com/file/d/108selP15cGxfsgDTiz8MuvWHVM-GJYA5/view?usp=sharing</v>
      </c>
      <c r="C65" s="1" t="s">
        <v>3311</v>
      </c>
      <c r="D65" s="1" t="s">
        <v>3311</v>
      </c>
      <c r="E65" s="1" t="s">
        <v>2254</v>
      </c>
      <c r="F65" s="1" t="s">
        <v>2255</v>
      </c>
      <c r="G65" s="40" t="s">
        <v>2262</v>
      </c>
      <c r="I65" s="1" t="s">
        <v>44</v>
      </c>
      <c r="J65" s="1" t="s">
        <v>69</v>
      </c>
    </row>
    <row r="66">
      <c r="A66" s="1" t="s">
        <v>64</v>
      </c>
      <c r="B66" s="170" t="str">
        <f>IF(ISBLANK(A66),"",VLOOKUP(A66,DOI_URL!$B$1:$C$74,2,FALSE()))</f>
        <v>https://drive.google.com/file/d/108selP15cGxfsgDTiz8MuvWHVM-GJYA5/view?usp=sharing</v>
      </c>
      <c r="C66" s="1" t="s">
        <v>3311</v>
      </c>
      <c r="D66" s="1" t="s">
        <v>3311</v>
      </c>
      <c r="E66" s="1" t="s">
        <v>2263</v>
      </c>
      <c r="G66" s="1" t="s">
        <v>2264</v>
      </c>
      <c r="I66" s="1" t="s">
        <v>44</v>
      </c>
      <c r="J66" s="1" t="s">
        <v>69</v>
      </c>
    </row>
    <row r="67">
      <c r="A67" s="1" t="s">
        <v>64</v>
      </c>
      <c r="B67" s="170" t="str">
        <f>IF(ISBLANK(A67),"",VLOOKUP(A67,DOI_URL!$B$1:$C$74,2,FALSE()))</f>
        <v>https://drive.google.com/file/d/108selP15cGxfsgDTiz8MuvWHVM-GJYA5/view?usp=sharing</v>
      </c>
      <c r="C67" s="1" t="s">
        <v>3311</v>
      </c>
      <c r="D67" s="1" t="s">
        <v>3311</v>
      </c>
      <c r="E67" s="1" t="s">
        <v>2265</v>
      </c>
      <c r="G67" s="1" t="s">
        <v>2266</v>
      </c>
      <c r="I67" s="1" t="s">
        <v>54</v>
      </c>
      <c r="J67" s="1" t="s">
        <v>69</v>
      </c>
    </row>
    <row r="68">
      <c r="A68" s="1" t="s">
        <v>64</v>
      </c>
      <c r="B68" s="170" t="str">
        <f>IF(ISBLANK(A68),"",VLOOKUP(A68,DOI_URL!$B$1:$C$74,2,FALSE()))</f>
        <v>https://drive.google.com/file/d/108selP15cGxfsgDTiz8MuvWHVM-GJYA5/view?usp=sharing</v>
      </c>
      <c r="C68" s="1" t="s">
        <v>3311</v>
      </c>
      <c r="D68" s="1" t="s">
        <v>3311</v>
      </c>
      <c r="E68" s="1" t="s">
        <v>2267</v>
      </c>
      <c r="F68" s="1" t="s">
        <v>2268</v>
      </c>
      <c r="G68" s="1" t="s">
        <v>2269</v>
      </c>
      <c r="I68" s="1" t="s">
        <v>39</v>
      </c>
      <c r="J68" s="1" t="s">
        <v>69</v>
      </c>
    </row>
    <row r="69">
      <c r="A69" s="1" t="s">
        <v>64</v>
      </c>
      <c r="B69" s="170" t="str">
        <f>IF(ISBLANK(A69),"",VLOOKUP(A69,DOI_URL!$B$1:$C$74,2,FALSE()))</f>
        <v>https://drive.google.com/file/d/108selP15cGxfsgDTiz8MuvWHVM-GJYA5/view?usp=sharing</v>
      </c>
      <c r="C69" s="1" t="s">
        <v>3311</v>
      </c>
      <c r="D69" s="1" t="s">
        <v>3311</v>
      </c>
      <c r="E69" s="1" t="s">
        <v>2270</v>
      </c>
      <c r="F69" s="1" t="s">
        <v>2245</v>
      </c>
      <c r="G69" s="1" t="s">
        <v>440</v>
      </c>
      <c r="H69" s="1" t="s">
        <v>434</v>
      </c>
      <c r="I69" s="1" t="s">
        <v>39</v>
      </c>
      <c r="J69" s="1" t="s">
        <v>69</v>
      </c>
    </row>
    <row r="70">
      <c r="A70" s="1" t="s">
        <v>64</v>
      </c>
      <c r="B70" s="170" t="str">
        <f>IF(ISBLANK(A70),"",VLOOKUP(A70,DOI_URL!$B$1:$C$74,2,FALSE()))</f>
        <v>https://drive.google.com/file/d/108selP15cGxfsgDTiz8MuvWHVM-GJYA5/view?usp=sharing</v>
      </c>
      <c r="C70" s="1" t="s">
        <v>3311</v>
      </c>
      <c r="D70" s="1" t="s">
        <v>3311</v>
      </c>
      <c r="E70" s="1" t="s">
        <v>2270</v>
      </c>
      <c r="F70" s="1" t="s">
        <v>2245</v>
      </c>
      <c r="G70" s="1" t="s">
        <v>477</v>
      </c>
      <c r="H70" s="1" t="s">
        <v>434</v>
      </c>
      <c r="I70" s="1" t="s">
        <v>39</v>
      </c>
      <c r="J70" s="1" t="s">
        <v>69</v>
      </c>
    </row>
    <row r="71">
      <c r="A71" s="1" t="s">
        <v>64</v>
      </c>
      <c r="B71" s="170" t="str">
        <f>IF(ISBLANK(A71),"",VLOOKUP(A71,DOI_URL!$B$1:$C$74,2,FALSE()))</f>
        <v>https://drive.google.com/file/d/108selP15cGxfsgDTiz8MuvWHVM-GJYA5/view?usp=sharing</v>
      </c>
      <c r="C71" s="1" t="s">
        <v>3311</v>
      </c>
      <c r="D71" s="1" t="s">
        <v>3311</v>
      </c>
      <c r="E71" s="1" t="s">
        <v>2272</v>
      </c>
      <c r="F71" s="1" t="s">
        <v>2273</v>
      </c>
      <c r="G71" s="40" t="s">
        <v>2249</v>
      </c>
      <c r="H71" s="1" t="s">
        <v>434</v>
      </c>
      <c r="I71" s="1" t="s">
        <v>39</v>
      </c>
      <c r="J71" s="1" t="s">
        <v>69</v>
      </c>
    </row>
    <row r="72">
      <c r="A72" s="1" t="s">
        <v>8</v>
      </c>
      <c r="B72" s="170" t="str">
        <f>IF(ISBLANK(A72),"",VLOOKUP(A72,DOI_URL!$B$1:$C$74,2,FALSE()))</f>
        <v>https://drive.google.com/file/d/1islIY4iHsWbZv2j0YpCYsh6MsPQzmlRL/view?usp=sharing</v>
      </c>
      <c r="C72" s="1" t="s">
        <v>3311</v>
      </c>
      <c r="D72" s="1" t="s">
        <v>3311</v>
      </c>
      <c r="E72" s="1" t="s">
        <v>2237</v>
      </c>
      <c r="F72" s="1" t="s">
        <v>11</v>
      </c>
      <c r="G72" s="1" t="s">
        <v>2238</v>
      </c>
      <c r="H72" s="40" t="s">
        <v>47</v>
      </c>
      <c r="I72" s="1" t="s">
        <v>44</v>
      </c>
      <c r="J72" s="1" t="s">
        <v>15</v>
      </c>
    </row>
    <row r="73">
      <c r="A73" s="1" t="s">
        <v>8</v>
      </c>
      <c r="B73" s="170" t="str">
        <f>IF(ISBLANK(A73),"",VLOOKUP(A73,DOI_URL!$B$1:$C$74,2,FALSE()))</f>
        <v>https://drive.google.com/file/d/1islIY4iHsWbZv2j0YpCYsh6MsPQzmlRL/view?usp=sharing</v>
      </c>
      <c r="C73" s="1" t="s">
        <v>3311</v>
      </c>
      <c r="D73" s="1" t="s">
        <v>3311</v>
      </c>
      <c r="E73" s="1" t="s">
        <v>2239</v>
      </c>
      <c r="F73" s="1" t="s">
        <v>11</v>
      </c>
      <c r="G73" s="1" t="s">
        <v>2240</v>
      </c>
      <c r="H73" s="40" t="s">
        <v>47</v>
      </c>
      <c r="I73" s="1" t="s">
        <v>20</v>
      </c>
      <c r="J73" s="1" t="s">
        <v>15</v>
      </c>
    </row>
    <row r="74">
      <c r="A74" s="1" t="s">
        <v>8</v>
      </c>
      <c r="B74" s="170" t="str">
        <f>IF(ISBLANK(A74),"",VLOOKUP(A74,DOI_URL!$B$1:$C$74,2,FALSE()))</f>
        <v>https://drive.google.com/file/d/1islIY4iHsWbZv2j0YpCYsh6MsPQzmlRL/view?usp=sharing</v>
      </c>
      <c r="C74" s="1" t="s">
        <v>3311</v>
      </c>
      <c r="D74" s="1" t="s">
        <v>3311</v>
      </c>
      <c r="E74" s="1" t="s">
        <v>2241</v>
      </c>
      <c r="F74" s="1" t="s">
        <v>2242</v>
      </c>
      <c r="G74" s="1" t="s">
        <v>2243</v>
      </c>
      <c r="I74" s="1" t="s">
        <v>54</v>
      </c>
      <c r="J74" s="1" t="s">
        <v>15</v>
      </c>
    </row>
    <row r="75">
      <c r="A75" s="1" t="s">
        <v>8</v>
      </c>
      <c r="B75" s="170" t="str">
        <f>IF(ISBLANK(A75),"",VLOOKUP(A75,DOI_URL!$B$1:$C$74,2,FALSE()))</f>
        <v>https://drive.google.com/file/d/1islIY4iHsWbZv2j0YpCYsh6MsPQzmlRL/view?usp=sharing</v>
      </c>
      <c r="C75" s="1" t="s">
        <v>3311</v>
      </c>
      <c r="D75" s="1" t="s">
        <v>3311</v>
      </c>
      <c r="E75" s="1" t="s">
        <v>40</v>
      </c>
      <c r="F75" s="1" t="s">
        <v>41</v>
      </c>
      <c r="G75" s="40" t="s">
        <v>42</v>
      </c>
      <c r="I75" s="1" t="s">
        <v>39</v>
      </c>
      <c r="J75" s="1" t="s">
        <v>15</v>
      </c>
    </row>
    <row r="76">
      <c r="A76" s="1" t="s">
        <v>8</v>
      </c>
      <c r="B76" s="170" t="str">
        <f>IF(ISBLANK(A76),"",VLOOKUP(A76,DOI_URL!$B$1:$C$74,2,FALSE()))</f>
        <v>https://drive.google.com/file/d/1islIY4iHsWbZv2j0YpCYsh6MsPQzmlRL/view?usp=sharing</v>
      </c>
      <c r="C76" s="1" t="s">
        <v>3311</v>
      </c>
      <c r="D76" s="1" t="s">
        <v>3311</v>
      </c>
      <c r="E76" s="1" t="s">
        <v>40</v>
      </c>
      <c r="F76" s="1" t="s">
        <v>2245</v>
      </c>
      <c r="G76" s="1" t="s">
        <v>2246</v>
      </c>
      <c r="H76" s="1" t="s">
        <v>434</v>
      </c>
      <c r="I76" s="1" t="s">
        <v>39</v>
      </c>
      <c r="J76" s="1" t="s">
        <v>15</v>
      </c>
    </row>
    <row r="77">
      <c r="A77" s="1" t="s">
        <v>8</v>
      </c>
      <c r="B77" s="170" t="str">
        <f>IF(ISBLANK(A77),"",VLOOKUP(A77,DOI_URL!$B$1:$C$74,2,FALSE()))</f>
        <v>https://drive.google.com/file/d/1islIY4iHsWbZv2j0YpCYsh6MsPQzmlRL/view?usp=sharing</v>
      </c>
      <c r="C77" s="1" t="s">
        <v>3311</v>
      </c>
      <c r="D77" s="1" t="s">
        <v>3311</v>
      </c>
      <c r="E77" s="1" t="s">
        <v>2247</v>
      </c>
      <c r="F77" s="1" t="s">
        <v>2248</v>
      </c>
      <c r="G77" s="40" t="s">
        <v>2249</v>
      </c>
      <c r="H77" s="1" t="s">
        <v>434</v>
      </c>
      <c r="I77" s="1" t="s">
        <v>39</v>
      </c>
      <c r="J77" s="1" t="s">
        <v>15</v>
      </c>
    </row>
    <row r="78">
      <c r="A78" s="1" t="s">
        <v>1774</v>
      </c>
      <c r="B78" s="170" t="str">
        <f>IF(ISBLANK(A78),"",VLOOKUP(A78,DOI_URL!$B$1:$C$74,2,FALSE()))</f>
        <v>https://drive.google.com/file/d/1hkk_OsJCnV7fnKKv1xHgex5Vj35Bzz74/view?usp=sharing</v>
      </c>
      <c r="C78" s="1" t="s">
        <v>3309</v>
      </c>
      <c r="D78" s="1" t="s">
        <v>3311</v>
      </c>
      <c r="I78" s="8"/>
      <c r="J78" s="8"/>
    </row>
    <row r="79">
      <c r="A79" s="1" t="s">
        <v>1775</v>
      </c>
      <c r="B79" s="170" t="str">
        <f>IF(ISBLANK(A79),"",VLOOKUP(A79,DOI_URL!$B$1:$C$74,2,FALSE()))</f>
        <v>https://drive.google.com/file/d/1yEKbey6JQnyK7s3LQOq8AXdpC4l74-JF/view?usp=sharing</v>
      </c>
      <c r="C79" s="1" t="s">
        <v>3311</v>
      </c>
      <c r="D79" s="1" t="s">
        <v>3311</v>
      </c>
      <c r="E79" s="1" t="s">
        <v>3532</v>
      </c>
      <c r="G79" s="1" t="s">
        <v>3074</v>
      </c>
      <c r="I79" s="1" t="s">
        <v>20</v>
      </c>
      <c r="J79" s="1" t="s">
        <v>1780</v>
      </c>
    </row>
    <row r="80">
      <c r="A80" s="1" t="s">
        <v>1775</v>
      </c>
      <c r="B80" s="170" t="str">
        <f>IF(ISBLANK(A80),"",VLOOKUP(A80,DOI_URL!$B$1:$C$74,2,FALSE()))</f>
        <v>https://drive.google.com/file/d/1yEKbey6JQnyK7s3LQOq8AXdpC4l74-JF/view?usp=sharing</v>
      </c>
      <c r="C80" s="1" t="s">
        <v>3311</v>
      </c>
      <c r="D80" s="1" t="s">
        <v>3311</v>
      </c>
      <c r="E80" s="1" t="s">
        <v>3533</v>
      </c>
      <c r="F80" s="1" t="s">
        <v>3534</v>
      </c>
      <c r="G80" s="1" t="s">
        <v>1778</v>
      </c>
      <c r="H80" s="1" t="s">
        <v>1779</v>
      </c>
      <c r="I80" s="1" t="s">
        <v>54</v>
      </c>
      <c r="J80" s="1" t="s">
        <v>1780</v>
      </c>
    </row>
    <row r="81">
      <c r="A81" s="1" t="s">
        <v>1775</v>
      </c>
      <c r="B81" s="170" t="str">
        <f>IF(ISBLANK(A81),"",VLOOKUP(A81,DOI_URL!$B$1:$C$74,2,FALSE()))</f>
        <v>https://drive.google.com/file/d/1yEKbey6JQnyK7s3LQOq8AXdpC4l74-JF/view?usp=sharing</v>
      </c>
      <c r="C81" s="1" t="s">
        <v>3311</v>
      </c>
      <c r="D81" s="1" t="s">
        <v>3311</v>
      </c>
      <c r="E81" s="1" t="s">
        <v>3533</v>
      </c>
      <c r="G81" s="40" t="s">
        <v>1781</v>
      </c>
      <c r="I81" s="1" t="s">
        <v>44</v>
      </c>
      <c r="J81" s="1" t="s">
        <v>1780</v>
      </c>
    </row>
    <row r="82">
      <c r="A82" s="1" t="s">
        <v>1775</v>
      </c>
      <c r="B82" s="170" t="str">
        <f>IF(ISBLANK(A82),"",VLOOKUP(A82,DOI_URL!$B$1:$C$74,2,FALSE()))</f>
        <v>https://drive.google.com/file/d/1yEKbey6JQnyK7s3LQOq8AXdpC4l74-JF/view?usp=sharing</v>
      </c>
      <c r="C82" s="1" t="s">
        <v>3311</v>
      </c>
      <c r="D82" s="1" t="s">
        <v>3311</v>
      </c>
      <c r="E82" s="1" t="s">
        <v>3535</v>
      </c>
      <c r="G82" s="1" t="s">
        <v>1783</v>
      </c>
      <c r="H82" s="1" t="s">
        <v>1748</v>
      </c>
      <c r="I82" s="1" t="s">
        <v>39</v>
      </c>
      <c r="J82" s="1" t="s">
        <v>1780</v>
      </c>
    </row>
    <row r="83">
      <c r="A83" s="1" t="s">
        <v>1775</v>
      </c>
      <c r="B83" s="170" t="str">
        <f>IF(ISBLANK(A83),"",VLOOKUP(A83,DOI_URL!$B$1:$C$74,2,FALSE()))</f>
        <v>https://drive.google.com/file/d/1yEKbey6JQnyK7s3LQOq8AXdpC4l74-JF/view?usp=sharing</v>
      </c>
      <c r="C83" s="1" t="s">
        <v>3311</v>
      </c>
      <c r="D83" s="1" t="s">
        <v>3311</v>
      </c>
      <c r="E83" s="1" t="s">
        <v>3536</v>
      </c>
      <c r="F83" s="1" t="s">
        <v>3076</v>
      </c>
      <c r="G83" s="40" t="s">
        <v>3077</v>
      </c>
      <c r="H83" s="1" t="s">
        <v>434</v>
      </c>
      <c r="I83" s="1" t="s">
        <v>39</v>
      </c>
      <c r="J83" s="1" t="s">
        <v>1780</v>
      </c>
    </row>
    <row r="84">
      <c r="A84" s="1" t="s">
        <v>1775</v>
      </c>
      <c r="B84" s="170" t="str">
        <f>IF(ISBLANK(A84),"",VLOOKUP(A84,DOI_URL!$B$1:$C$74,2,FALSE()))</f>
        <v>https://drive.google.com/file/d/1yEKbey6JQnyK7s3LQOq8AXdpC4l74-JF/view?usp=sharing</v>
      </c>
      <c r="C84" s="1" t="s">
        <v>3311</v>
      </c>
      <c r="D84" s="1" t="s">
        <v>3311</v>
      </c>
      <c r="E84" s="1" t="s">
        <v>3537</v>
      </c>
      <c r="F84" s="40" t="s">
        <v>1788</v>
      </c>
      <c r="G84" s="1" t="s">
        <v>3078</v>
      </c>
      <c r="H84" s="1" t="s">
        <v>434</v>
      </c>
      <c r="I84" s="1" t="s">
        <v>39</v>
      </c>
      <c r="J84" s="1" t="s">
        <v>1780</v>
      </c>
    </row>
    <row r="85">
      <c r="A85" s="1" t="s">
        <v>1775</v>
      </c>
      <c r="B85" s="170" t="str">
        <f>IF(ISBLANK(A85),"",VLOOKUP(A85,DOI_URL!$B$1:$C$74,2,FALSE()))</f>
        <v>https://drive.google.com/file/d/1yEKbey6JQnyK7s3LQOq8AXdpC4l74-JF/view?usp=sharing</v>
      </c>
      <c r="C85" s="1" t="s">
        <v>3311</v>
      </c>
      <c r="D85" s="1" t="s">
        <v>3311</v>
      </c>
      <c r="E85" s="1" t="s">
        <v>3538</v>
      </c>
      <c r="F85" s="1" t="s">
        <v>503</v>
      </c>
      <c r="G85" s="1" t="s">
        <v>3080</v>
      </c>
      <c r="H85" s="1" t="s">
        <v>434</v>
      </c>
      <c r="I85" s="1" t="s">
        <v>39</v>
      </c>
      <c r="J85" s="1" t="s">
        <v>1780</v>
      </c>
    </row>
    <row r="86">
      <c r="A86" s="1" t="s">
        <v>1519</v>
      </c>
      <c r="B86" s="170" t="str">
        <f>IF(ISBLANK(A86),"",VLOOKUP(A86,DOI_URL!$B$1:$C$74,2,FALSE()))</f>
        <v>https://drive.google.com/file/d/19Vb-fci0-Rn2lwm6Ab-EARLbPK76TFxl/view?usp=sharing</v>
      </c>
      <c r="C86" s="1" t="s">
        <v>3309</v>
      </c>
      <c r="D86" s="1" t="s">
        <v>3311</v>
      </c>
      <c r="I86" s="8"/>
      <c r="J86" s="8"/>
      <c r="K86" s="1" t="s">
        <v>3539</v>
      </c>
    </row>
    <row r="87">
      <c r="A87" s="1" t="s">
        <v>1798</v>
      </c>
      <c r="B87" s="170" t="str">
        <f>IF(ISBLANK(A87),"",VLOOKUP(A87,DOI_URL!$B$1:$C$74,2,FALSE()))</f>
        <v>https://drive.google.com/file/d/1bi7YXfNt0LBAT4_uMAqjJi7Uow1igA12/view?usp=sharing</v>
      </c>
      <c r="C87" s="1" t="s">
        <v>3311</v>
      </c>
      <c r="D87" s="1" t="s">
        <v>3311</v>
      </c>
      <c r="E87" s="1" t="s">
        <v>3540</v>
      </c>
      <c r="F87" s="1" t="s">
        <v>3084</v>
      </c>
      <c r="G87" s="1" t="s">
        <v>3085</v>
      </c>
      <c r="H87" s="1" t="s">
        <v>3086</v>
      </c>
      <c r="I87" s="1" t="s">
        <v>54</v>
      </c>
      <c r="J87" s="1" t="s">
        <v>577</v>
      </c>
    </row>
    <row r="88">
      <c r="A88" s="1" t="s">
        <v>1798</v>
      </c>
      <c r="B88" s="170" t="str">
        <f>IF(ISBLANK(A88),"",VLOOKUP(A88,DOI_URL!$B$1:$C$74,2,FALSE()))</f>
        <v>https://drive.google.com/file/d/1bi7YXfNt0LBAT4_uMAqjJi7Uow1igA12/view?usp=sharing</v>
      </c>
      <c r="C88" s="1" t="s">
        <v>3311</v>
      </c>
      <c r="D88" s="1" t="s">
        <v>3311</v>
      </c>
      <c r="E88" s="1" t="s">
        <v>3541</v>
      </c>
      <c r="G88" s="1" t="s">
        <v>3087</v>
      </c>
      <c r="I88" s="1" t="s">
        <v>54</v>
      </c>
      <c r="J88" s="1" t="s">
        <v>577</v>
      </c>
    </row>
    <row r="89">
      <c r="A89" s="1" t="s">
        <v>1798</v>
      </c>
      <c r="B89" s="170" t="str">
        <f>IF(ISBLANK(A89),"",VLOOKUP(A89,DOI_URL!$B$1:$C$74,2,FALSE()))</f>
        <v>https://drive.google.com/file/d/1bi7YXfNt0LBAT4_uMAqjJi7Uow1igA12/view?usp=sharing</v>
      </c>
      <c r="C89" s="1" t="s">
        <v>3311</v>
      </c>
      <c r="D89" s="1" t="s">
        <v>3311</v>
      </c>
      <c r="E89" s="1" t="s">
        <v>3542</v>
      </c>
      <c r="F89" s="1" t="s">
        <v>3543</v>
      </c>
      <c r="G89" s="40" t="s">
        <v>3088</v>
      </c>
      <c r="H89" s="1" t="s">
        <v>434</v>
      </c>
      <c r="I89" s="1" t="s">
        <v>39</v>
      </c>
      <c r="J89" s="1" t="s">
        <v>577</v>
      </c>
    </row>
    <row r="90">
      <c r="A90" s="1" t="s">
        <v>1798</v>
      </c>
      <c r="B90" s="170" t="str">
        <f>IF(ISBLANK(A90),"",VLOOKUP(A90,DOI_URL!$B$1:$C$74,2,FALSE()))</f>
        <v>https://drive.google.com/file/d/1bi7YXfNt0LBAT4_uMAqjJi7Uow1igA12/view?usp=sharing</v>
      </c>
      <c r="C90" s="1" t="s">
        <v>3311</v>
      </c>
      <c r="D90" s="1" t="s">
        <v>3311</v>
      </c>
      <c r="E90" s="1" t="s">
        <v>3544</v>
      </c>
      <c r="F90" s="1" t="s">
        <v>3543</v>
      </c>
      <c r="G90" s="1" t="s">
        <v>719</v>
      </c>
      <c r="H90" s="1" t="s">
        <v>434</v>
      </c>
      <c r="I90" s="1" t="s">
        <v>39</v>
      </c>
      <c r="J90" s="1" t="s">
        <v>577</v>
      </c>
    </row>
    <row r="91">
      <c r="A91" s="1" t="s">
        <v>1798</v>
      </c>
      <c r="B91" s="170" t="str">
        <f>IF(ISBLANK(A91),"",VLOOKUP(A91,DOI_URL!$B$1:$C$74,2,FALSE()))</f>
        <v>https://drive.google.com/file/d/1bi7YXfNt0LBAT4_uMAqjJi7Uow1igA12/view?usp=sharing</v>
      </c>
      <c r="C91" s="1" t="s">
        <v>3311</v>
      </c>
      <c r="D91" s="1" t="s">
        <v>3311</v>
      </c>
      <c r="E91" s="1" t="s">
        <v>3545</v>
      </c>
      <c r="F91" s="1" t="s">
        <v>1801</v>
      </c>
      <c r="G91" s="1" t="s">
        <v>1818</v>
      </c>
      <c r="H91" s="1" t="s">
        <v>1819</v>
      </c>
      <c r="I91" s="1" t="s">
        <v>39</v>
      </c>
      <c r="J91" s="1" t="s">
        <v>577</v>
      </c>
    </row>
    <row r="92">
      <c r="A92" s="1" t="s">
        <v>1798</v>
      </c>
      <c r="B92" s="170" t="str">
        <f>IF(ISBLANK(A92),"",VLOOKUP(A92,DOI_URL!$B$1:$C$74,2,FALSE()))</f>
        <v>https://drive.google.com/file/d/1bi7YXfNt0LBAT4_uMAqjJi7Uow1igA12/view?usp=sharing</v>
      </c>
      <c r="C92" s="1" t="s">
        <v>3311</v>
      </c>
      <c r="D92" s="1" t="s">
        <v>3311</v>
      </c>
      <c r="E92" s="1" t="s">
        <v>3546</v>
      </c>
      <c r="F92" s="1" t="s">
        <v>1801</v>
      </c>
      <c r="G92" s="1" t="s">
        <v>1823</v>
      </c>
      <c r="I92" s="1" t="s">
        <v>506</v>
      </c>
      <c r="J92" s="1" t="s">
        <v>577</v>
      </c>
    </row>
    <row r="93">
      <c r="A93" s="8"/>
      <c r="B93" s="8" t="str">
        <f>IF(ISBLANK(A93),"",VLOOKUP(A93,DOI_URL!$B$1:$C$74,2,FALSE()))</f>
        <v/>
      </c>
      <c r="C93" s="8"/>
      <c r="D93" s="8"/>
      <c r="I93" s="8"/>
      <c r="J93" s="8"/>
    </row>
    <row r="94">
      <c r="A94" s="8"/>
      <c r="B94" s="8" t="str">
        <f>IF(ISBLANK(A94),"",VLOOKUP(A94,DOI_URL!$B$1:$C$74,2,FALSE()))</f>
        <v/>
      </c>
      <c r="C94" s="8"/>
      <c r="D94" s="8"/>
      <c r="I94" s="8"/>
      <c r="J94" s="8"/>
    </row>
    <row r="95">
      <c r="A95" s="8"/>
      <c r="B95" s="8" t="str">
        <f>IF(ISBLANK(A95),"",VLOOKUP(A95,DOI_URL!$B$1:$C$74,2,FALSE()))</f>
        <v/>
      </c>
      <c r="C95" s="8"/>
      <c r="D95" s="8"/>
      <c r="I95" s="8"/>
      <c r="J95" s="8"/>
    </row>
    <row r="96">
      <c r="A96" s="8"/>
      <c r="B96" s="8" t="str">
        <f>IF(ISBLANK(A96),"",VLOOKUP(A96,DOI_URL!$B$1:$C$74,2,FALSE()))</f>
        <v/>
      </c>
      <c r="C96" s="8"/>
      <c r="D96" s="8"/>
      <c r="I96" s="8"/>
      <c r="J96" s="8"/>
    </row>
    <row r="97">
      <c r="A97" s="8"/>
      <c r="B97" s="8" t="str">
        <f>IF(ISBLANK(A97),"",VLOOKUP(A97,DOI_URL!$B$1:$C$74,2,FALSE()))</f>
        <v/>
      </c>
      <c r="C97" s="8"/>
      <c r="D97" s="8"/>
      <c r="I97" s="8"/>
      <c r="J97" s="8"/>
    </row>
    <row r="98">
      <c r="A98" s="8"/>
      <c r="B98" s="8" t="str">
        <f>IF(ISBLANK(A98),"",VLOOKUP(A98,DOI_URL!$B$1:$C$74,2,FALSE()))</f>
        <v/>
      </c>
      <c r="C98" s="8"/>
      <c r="D98" s="8"/>
      <c r="I98" s="8"/>
      <c r="J98" s="8"/>
    </row>
    <row r="99">
      <c r="A99" s="8"/>
      <c r="B99" s="8" t="str">
        <f>IF(ISBLANK(A99),"",VLOOKUP(A99,DOI_URL!$B$1:$C$74,2,FALSE()))</f>
        <v/>
      </c>
      <c r="C99" s="8"/>
      <c r="D99" s="8"/>
      <c r="I99" s="8"/>
      <c r="J99" s="8"/>
    </row>
    <row r="100">
      <c r="A100" s="8"/>
      <c r="B100" s="8" t="str">
        <f>IF(ISBLANK(A100),"",VLOOKUP(A100,DOI_URL!$B$1:$C$74,2,FALSE()))</f>
        <v/>
      </c>
      <c r="C100" s="8"/>
      <c r="D100" s="8"/>
      <c r="I100" s="8"/>
      <c r="J100" s="8"/>
    </row>
    <row r="101">
      <c r="A101" s="8"/>
      <c r="B101" s="8" t="str">
        <f>IF(ISBLANK(A101),"",VLOOKUP(A101,DOI_URL!$B$1:$C$74,2,FALSE()))</f>
        <v/>
      </c>
      <c r="C101" s="8"/>
      <c r="D101" s="8"/>
      <c r="I101" s="8"/>
      <c r="J101" s="8"/>
    </row>
    <row r="102">
      <c r="A102" s="8"/>
      <c r="B102" s="8" t="str">
        <f>IF(ISBLANK(A102),"",VLOOKUP(A102,DOI_URL!$B$1:$C$74,2,FALSE()))</f>
        <v/>
      </c>
      <c r="C102" s="8"/>
      <c r="D102" s="8"/>
      <c r="I102" s="8"/>
      <c r="J102" s="8"/>
    </row>
    <row r="103">
      <c r="A103" s="8"/>
      <c r="B103" s="8" t="str">
        <f>IF(ISBLANK(A103),"",VLOOKUP(A103,DOI_URL!$B$1:$C$74,2,FALSE()))</f>
        <v/>
      </c>
      <c r="C103" s="8"/>
      <c r="D103" s="8"/>
      <c r="I103" s="8"/>
      <c r="J103" s="8"/>
    </row>
    <row r="104">
      <c r="A104" s="8"/>
      <c r="B104" s="8" t="str">
        <f>IF(ISBLANK(A104),"",VLOOKUP(A104,DOI_URL!$B$1:$C$74,2,FALSE()))</f>
        <v/>
      </c>
      <c r="C104" s="8"/>
      <c r="D104" s="8"/>
      <c r="I104" s="8"/>
      <c r="J104" s="8"/>
    </row>
    <row r="105">
      <c r="A105" s="8"/>
      <c r="B105" s="8" t="str">
        <f>IF(ISBLANK(A105),"",VLOOKUP(A105,DOI_URL!$B$1:$C$74,2,FALSE()))</f>
        <v/>
      </c>
      <c r="C105" s="8"/>
      <c r="D105" s="8"/>
      <c r="I105" s="8"/>
      <c r="J105" s="8"/>
    </row>
    <row r="106">
      <c r="A106" s="8"/>
      <c r="B106" s="8" t="str">
        <f>IF(ISBLANK(A106),"",VLOOKUP(A106,DOI_URL!$B$1:$C$74,2,FALSE()))</f>
        <v/>
      </c>
      <c r="C106" s="8"/>
      <c r="D106" s="8"/>
      <c r="I106" s="8"/>
      <c r="J106" s="8"/>
    </row>
    <row r="107">
      <c r="A107" s="8"/>
      <c r="B107" s="8" t="str">
        <f>IF(ISBLANK(A107),"",VLOOKUP(A107,DOI_URL!$B$1:$C$74,2,FALSE()))</f>
        <v/>
      </c>
      <c r="C107" s="8"/>
      <c r="D107" s="8"/>
      <c r="I107" s="8"/>
      <c r="J107" s="8"/>
    </row>
    <row r="108">
      <c r="A108" s="8"/>
      <c r="B108" s="8" t="str">
        <f>IF(ISBLANK(A108),"",VLOOKUP(A108,DOI_URL!$B$1:$C$74,2,FALSE()))</f>
        <v/>
      </c>
      <c r="C108" s="8"/>
      <c r="D108" s="8"/>
      <c r="I108" s="8"/>
      <c r="J108" s="8"/>
    </row>
    <row r="109">
      <c r="A109" s="8"/>
      <c r="B109" s="8" t="str">
        <f>IF(ISBLANK(A109),"",VLOOKUP(A109,DOI_URL!$B$1:$C$74,2,FALSE()))</f>
        <v/>
      </c>
      <c r="C109" s="8"/>
      <c r="D109" s="8"/>
      <c r="I109" s="8"/>
      <c r="J109" s="8"/>
    </row>
    <row r="110">
      <c r="A110" s="8"/>
      <c r="B110" s="8" t="str">
        <f>IF(ISBLANK(A110),"",VLOOKUP(A110,DOI_URL!$B$1:$C$74,2,FALSE()))</f>
        <v/>
      </c>
      <c r="C110" s="8"/>
      <c r="D110" s="8"/>
      <c r="I110" s="8"/>
      <c r="J110" s="8"/>
    </row>
    <row r="111">
      <c r="A111" s="8"/>
      <c r="B111" s="8" t="str">
        <f>IF(ISBLANK(A111),"",VLOOKUP(A111,DOI_URL!$B$1:$C$74,2,FALSE()))</f>
        <v/>
      </c>
      <c r="C111" s="8"/>
      <c r="D111" s="8"/>
      <c r="I111" s="8"/>
      <c r="J111" s="8"/>
    </row>
    <row r="112">
      <c r="A112" s="8"/>
      <c r="B112" s="8" t="str">
        <f>IF(ISBLANK(A112),"",VLOOKUP(A112,DOI_URL!$B$1:$C$74,2,FALSE()))</f>
        <v/>
      </c>
      <c r="C112" s="8"/>
      <c r="D112" s="8"/>
      <c r="I112" s="8"/>
      <c r="J112" s="8"/>
    </row>
    <row r="113">
      <c r="A113" s="8"/>
      <c r="B113" s="8" t="str">
        <f>IF(ISBLANK(A113),"",VLOOKUP(A113,DOI_URL!$B$1:$C$74,2,FALSE()))</f>
        <v/>
      </c>
      <c r="C113" s="8"/>
      <c r="D113" s="8"/>
      <c r="I113" s="8"/>
      <c r="J113" s="8"/>
    </row>
    <row r="114">
      <c r="A114" s="8"/>
      <c r="B114" s="8" t="str">
        <f>IF(ISBLANK(A114),"",VLOOKUP(A114,DOI_URL!$B$1:$C$74,2,FALSE()))</f>
        <v/>
      </c>
      <c r="C114" s="8"/>
      <c r="D114" s="8"/>
      <c r="I114" s="8"/>
      <c r="J114" s="8"/>
    </row>
    <row r="115">
      <c r="A115" s="8"/>
      <c r="B115" s="8" t="str">
        <f>IF(ISBLANK(A115),"",VLOOKUP(A115,DOI_URL!$B$1:$C$74,2,FALSE()))</f>
        <v/>
      </c>
      <c r="C115" s="8"/>
      <c r="D115" s="8"/>
      <c r="I115" s="8"/>
      <c r="J115" s="8"/>
    </row>
    <row r="116">
      <c r="A116" s="8"/>
      <c r="B116" s="8" t="str">
        <f>IF(ISBLANK(A116),"",VLOOKUP(A116,DOI_URL!$B$1:$C$74,2,FALSE()))</f>
        <v/>
      </c>
      <c r="C116" s="8"/>
      <c r="D116" s="8"/>
      <c r="I116" s="8"/>
      <c r="J116" s="8"/>
    </row>
    <row r="117">
      <c r="A117" s="8"/>
      <c r="B117" s="8" t="str">
        <f>IF(ISBLANK(A117),"",VLOOKUP(A117,DOI_URL!$B$1:$C$74,2,FALSE()))</f>
        <v/>
      </c>
      <c r="C117" s="8"/>
      <c r="D117" s="8"/>
      <c r="I117" s="8"/>
      <c r="J117" s="8"/>
    </row>
    <row r="118">
      <c r="A118" s="8"/>
      <c r="B118" s="8" t="str">
        <f>IF(ISBLANK(A118),"",VLOOKUP(A118,DOI_URL!$B$1:$C$74,2,FALSE()))</f>
        <v/>
      </c>
      <c r="C118" s="8"/>
      <c r="D118" s="8"/>
      <c r="I118" s="8"/>
      <c r="J118" s="8"/>
    </row>
    <row r="119">
      <c r="A119" s="8"/>
      <c r="B119" s="8" t="str">
        <f>IF(ISBLANK(A119),"",VLOOKUP(A119,DOI_URL!$B$1:$C$74,2,FALSE()))</f>
        <v/>
      </c>
      <c r="C119" s="8"/>
      <c r="D119" s="8"/>
      <c r="I119" s="8"/>
      <c r="J119" s="8"/>
    </row>
    <row r="120">
      <c r="A120" s="8"/>
      <c r="B120" s="8" t="str">
        <f>IF(ISBLANK(A120),"",VLOOKUP(A120,DOI_URL!$B$1:$C$74,2,FALSE()))</f>
        <v/>
      </c>
      <c r="C120" s="8"/>
      <c r="D120" s="8"/>
      <c r="I120" s="8"/>
      <c r="J120" s="8"/>
    </row>
    <row r="121">
      <c r="A121" s="8"/>
      <c r="B121" s="8" t="str">
        <f>IF(ISBLANK(A121),"",VLOOKUP(A121,DOI_URL!$B$1:$C$74,2,FALSE()))</f>
        <v/>
      </c>
      <c r="C121" s="8"/>
      <c r="D121" s="8"/>
      <c r="I121" s="8"/>
      <c r="J121" s="8"/>
    </row>
    <row r="122">
      <c r="A122" s="8"/>
      <c r="B122" s="8" t="str">
        <f>IF(ISBLANK(A122),"",VLOOKUP(A122,DOI_URL!$B$1:$C$74,2,FALSE()))</f>
        <v/>
      </c>
      <c r="C122" s="8"/>
      <c r="D122" s="8"/>
      <c r="I122" s="8"/>
      <c r="J122" s="8"/>
    </row>
    <row r="123">
      <c r="A123" s="8"/>
      <c r="B123" s="8" t="str">
        <f>IF(ISBLANK(A123),"",VLOOKUP(A123,DOI_URL!$B$1:$C$74,2,FALSE()))</f>
        <v/>
      </c>
      <c r="C123" s="8"/>
      <c r="D123" s="8"/>
      <c r="I123" s="8"/>
      <c r="J123" s="8"/>
    </row>
    <row r="124">
      <c r="A124" s="8"/>
      <c r="B124" s="8" t="str">
        <f>IF(ISBLANK(A124),"",VLOOKUP(A124,DOI_URL!$B$1:$C$74,2,FALSE()))</f>
        <v/>
      </c>
      <c r="C124" s="8"/>
      <c r="D124" s="8"/>
      <c r="I124" s="8"/>
      <c r="J124" s="8"/>
    </row>
    <row r="125">
      <c r="A125" s="8"/>
      <c r="B125" s="8" t="str">
        <f>IF(ISBLANK(A125),"",VLOOKUP(A125,DOI_URL!$B$1:$C$74,2,FALSE()))</f>
        <v/>
      </c>
      <c r="C125" s="8"/>
      <c r="D125" s="8"/>
      <c r="I125" s="8"/>
      <c r="J125" s="8"/>
    </row>
    <row r="126">
      <c r="A126" s="8"/>
      <c r="B126" s="8" t="str">
        <f>IF(ISBLANK(A126),"",VLOOKUP(A126,DOI_URL!$B$1:$C$74,2,FALSE()))</f>
        <v/>
      </c>
      <c r="C126" s="8"/>
      <c r="D126" s="8"/>
      <c r="I126" s="8"/>
      <c r="J126" s="8"/>
    </row>
    <row r="127">
      <c r="A127" s="8"/>
      <c r="B127" s="8" t="str">
        <f>IF(ISBLANK(A127),"",VLOOKUP(A127,DOI_URL!$B$1:$C$74,2,FALSE()))</f>
        <v/>
      </c>
      <c r="C127" s="8"/>
      <c r="D127" s="8"/>
      <c r="I127" s="8"/>
      <c r="J127" s="8"/>
    </row>
    <row r="128">
      <c r="A128" s="8"/>
      <c r="B128" s="8" t="str">
        <f>IF(ISBLANK(A128),"",VLOOKUP(A128,DOI_URL!$B$1:$C$74,2,FALSE()))</f>
        <v/>
      </c>
      <c r="C128" s="8"/>
      <c r="D128" s="8"/>
      <c r="I128" s="8"/>
      <c r="J128" s="8"/>
    </row>
    <row r="129">
      <c r="A129" s="8"/>
      <c r="B129" s="8" t="str">
        <f>IF(ISBLANK(A129),"",VLOOKUP(A129,DOI_URL!$B$1:$C$74,2,FALSE()))</f>
        <v/>
      </c>
      <c r="C129" s="8"/>
      <c r="D129" s="8"/>
      <c r="I129" s="8"/>
      <c r="J129" s="8"/>
    </row>
    <row r="130">
      <c r="A130" s="8"/>
      <c r="B130" s="8" t="str">
        <f>IF(ISBLANK(A130),"",VLOOKUP(A130,DOI_URL!$B$1:$C$74,2,FALSE()))</f>
        <v/>
      </c>
      <c r="C130" s="8"/>
      <c r="D130" s="8"/>
      <c r="I130" s="8"/>
      <c r="J130" s="8"/>
    </row>
    <row r="131">
      <c r="A131" s="8"/>
      <c r="B131" s="8" t="str">
        <f>IF(ISBLANK(A131),"",VLOOKUP(A131,DOI_URL!$B$1:$C$74,2,FALSE()))</f>
        <v/>
      </c>
      <c r="C131" s="8"/>
      <c r="D131" s="8"/>
      <c r="I131" s="8"/>
      <c r="J131" s="8"/>
    </row>
    <row r="132">
      <c r="A132" s="8"/>
      <c r="B132" s="8" t="str">
        <f>IF(ISBLANK(A132),"",VLOOKUP(A132,DOI_URL!$B$1:$C$74,2,FALSE()))</f>
        <v/>
      </c>
      <c r="C132" s="8"/>
      <c r="D132" s="8"/>
      <c r="I132" s="8"/>
      <c r="J132" s="8"/>
    </row>
    <row r="133">
      <c r="A133" s="8"/>
      <c r="B133" s="8" t="str">
        <f>IF(ISBLANK(A133),"",VLOOKUP(A133,DOI_URL!$B$1:$C$74,2,FALSE()))</f>
        <v/>
      </c>
      <c r="C133" s="8"/>
      <c r="D133" s="8"/>
      <c r="I133" s="8"/>
      <c r="J133" s="8"/>
    </row>
    <row r="134">
      <c r="A134" s="8"/>
      <c r="B134" s="8" t="str">
        <f>IF(ISBLANK(A134),"",VLOOKUP(A134,DOI_URL!$B$1:$C$74,2,FALSE()))</f>
        <v/>
      </c>
      <c r="C134" s="8"/>
      <c r="D134" s="8"/>
      <c r="I134" s="8"/>
      <c r="J134" s="8"/>
    </row>
    <row r="135">
      <c r="A135" s="8"/>
      <c r="B135" s="8" t="str">
        <f>IF(ISBLANK(A135),"",VLOOKUP(A135,DOI_URL!$B$1:$C$74,2,FALSE()))</f>
        <v/>
      </c>
      <c r="C135" s="8"/>
      <c r="D135" s="8"/>
      <c r="I135" s="8"/>
      <c r="J135" s="8"/>
    </row>
    <row r="136">
      <c r="A136" s="8"/>
      <c r="B136" s="8" t="str">
        <f>IF(ISBLANK(A136),"",VLOOKUP(A136,DOI_URL!$B$1:$C$74,2,FALSE()))</f>
        <v/>
      </c>
      <c r="C136" s="8"/>
      <c r="D136" s="8"/>
      <c r="I136" s="8"/>
      <c r="J136" s="8"/>
    </row>
    <row r="137">
      <c r="A137" s="8"/>
      <c r="B137" s="8" t="str">
        <f>IF(ISBLANK(A137),"",VLOOKUP(A137,DOI_URL!$B$1:$C$74,2,FALSE()))</f>
        <v/>
      </c>
      <c r="C137" s="8"/>
      <c r="D137" s="8"/>
      <c r="I137" s="8"/>
      <c r="J137" s="8"/>
    </row>
    <row r="138">
      <c r="A138" s="8"/>
      <c r="B138" s="8" t="str">
        <f>IF(ISBLANK(A138),"",VLOOKUP(A138,DOI_URL!$B$1:$C$74,2,FALSE()))</f>
        <v/>
      </c>
      <c r="C138" s="8"/>
      <c r="D138" s="8"/>
      <c r="I138" s="8"/>
      <c r="J138" s="8"/>
    </row>
    <row r="139">
      <c r="A139" s="8"/>
      <c r="B139" s="8" t="str">
        <f>IF(ISBLANK(A139),"",VLOOKUP(A139,DOI_URL!$B$1:$C$74,2,FALSE()))</f>
        <v/>
      </c>
      <c r="C139" s="8"/>
      <c r="D139" s="8"/>
      <c r="I139" s="8"/>
      <c r="J139" s="8"/>
    </row>
    <row r="140">
      <c r="A140" s="8"/>
      <c r="B140" s="8" t="str">
        <f>IF(ISBLANK(A140),"",VLOOKUP(A140,DOI_URL!$B$1:$C$74,2,FALSE()))</f>
        <v/>
      </c>
      <c r="C140" s="8"/>
      <c r="D140" s="8"/>
      <c r="I140" s="8"/>
      <c r="J140" s="8"/>
    </row>
    <row r="141">
      <c r="A141" s="8"/>
      <c r="B141" s="8" t="str">
        <f>IF(ISBLANK(A141),"",VLOOKUP(A141,DOI_URL!$B$1:$C$74,2,FALSE()))</f>
        <v/>
      </c>
      <c r="C141" s="8"/>
      <c r="D141" s="8"/>
      <c r="I141" s="8"/>
      <c r="J141" s="8"/>
    </row>
    <row r="142">
      <c r="A142" s="8"/>
      <c r="B142" s="8" t="str">
        <f>IF(ISBLANK(A142),"",VLOOKUP(A142,DOI_URL!$B$1:$C$74,2,FALSE()))</f>
        <v/>
      </c>
      <c r="C142" s="8"/>
      <c r="D142" s="8"/>
      <c r="I142" s="8"/>
      <c r="J142" s="8"/>
    </row>
    <row r="143">
      <c r="A143" s="8"/>
      <c r="B143" s="8" t="str">
        <f>IF(ISBLANK(A143),"",VLOOKUP(A143,DOI_URL!$B$1:$C$74,2,FALSE()))</f>
        <v/>
      </c>
      <c r="C143" s="8"/>
      <c r="D143" s="8"/>
      <c r="I143" s="8"/>
      <c r="J143" s="8"/>
    </row>
    <row r="144">
      <c r="A144" s="8"/>
      <c r="B144" s="8" t="str">
        <f>IF(ISBLANK(A144),"",VLOOKUP(A144,DOI_URL!$B$1:$C$74,2,FALSE()))</f>
        <v/>
      </c>
      <c r="C144" s="8"/>
      <c r="D144" s="8"/>
      <c r="I144" s="8"/>
      <c r="J144" s="8"/>
    </row>
    <row r="145">
      <c r="A145" s="8"/>
      <c r="B145" s="8" t="str">
        <f>IF(ISBLANK(A145),"",VLOOKUP(A145,DOI_URL!$B$1:$C$74,2,FALSE()))</f>
        <v/>
      </c>
      <c r="C145" s="8"/>
      <c r="D145" s="8"/>
      <c r="I145" s="8"/>
      <c r="J145" s="8"/>
    </row>
    <row r="146">
      <c r="A146" s="8"/>
      <c r="B146" s="8" t="str">
        <f>IF(ISBLANK(A146),"",VLOOKUP(A146,DOI_URL!$B$1:$C$74,2,FALSE()))</f>
        <v/>
      </c>
      <c r="C146" s="8"/>
      <c r="D146" s="8"/>
      <c r="I146" s="8"/>
      <c r="J146" s="8"/>
    </row>
    <row r="147">
      <c r="A147" s="8"/>
      <c r="B147" s="8" t="str">
        <f>IF(ISBLANK(A147),"",VLOOKUP(A147,DOI_URL!$B$1:$C$74,2,FALSE()))</f>
        <v/>
      </c>
      <c r="C147" s="8"/>
      <c r="D147" s="8"/>
      <c r="I147" s="8"/>
      <c r="J147" s="8"/>
    </row>
    <row r="148">
      <c r="A148" s="8"/>
      <c r="B148" s="8" t="str">
        <f>IF(ISBLANK(A148),"",VLOOKUP(A148,DOI_URL!$B$1:$C$74,2,FALSE()))</f>
        <v/>
      </c>
      <c r="C148" s="8"/>
      <c r="D148" s="8"/>
      <c r="I148" s="8"/>
      <c r="J148" s="8"/>
    </row>
    <row r="149">
      <c r="A149" s="8"/>
      <c r="B149" s="8" t="str">
        <f>IF(ISBLANK(A149),"",VLOOKUP(A149,DOI_URL!$B$1:$C$74,2,FALSE()))</f>
        <v/>
      </c>
      <c r="C149" s="8"/>
      <c r="D149" s="8"/>
      <c r="I149" s="8"/>
      <c r="J149" s="8"/>
    </row>
    <row r="150">
      <c r="A150" s="8"/>
      <c r="B150" s="8" t="str">
        <f>IF(ISBLANK(A150),"",VLOOKUP(A150,DOI_URL!$B$1:$C$74,2,FALSE()))</f>
        <v/>
      </c>
      <c r="C150" s="8"/>
      <c r="D150" s="8"/>
      <c r="I150" s="8"/>
      <c r="J150" s="8"/>
    </row>
    <row r="151">
      <c r="A151" s="8"/>
      <c r="B151" s="8" t="str">
        <f>IF(ISBLANK(A151),"",VLOOKUP(A151,DOI_URL!$B$1:$C$74,2,FALSE()))</f>
        <v/>
      </c>
      <c r="C151" s="8"/>
      <c r="D151" s="8"/>
      <c r="I151" s="8"/>
      <c r="J151" s="8"/>
    </row>
    <row r="152">
      <c r="A152" s="8"/>
      <c r="B152" s="8" t="str">
        <f>IF(ISBLANK(A152),"",VLOOKUP(A152,DOI_URL!$B$1:$C$74,2,FALSE()))</f>
        <v/>
      </c>
      <c r="C152" s="8"/>
      <c r="D152" s="8"/>
      <c r="I152" s="8"/>
      <c r="J152" s="8"/>
    </row>
    <row r="153">
      <c r="A153" s="8"/>
      <c r="B153" s="8" t="str">
        <f>IF(ISBLANK(A153),"",VLOOKUP(A153,DOI_URL!$B$1:$C$74,2,FALSE()))</f>
        <v/>
      </c>
      <c r="C153" s="8"/>
      <c r="D153" s="8"/>
      <c r="I153" s="8"/>
      <c r="J153" s="8"/>
    </row>
    <row r="154">
      <c r="A154" s="8"/>
      <c r="B154" s="8" t="str">
        <f>IF(ISBLANK(A154),"",VLOOKUP(A154,DOI_URL!$B$1:$C$74,2,FALSE()))</f>
        <v/>
      </c>
      <c r="C154" s="8"/>
      <c r="D154" s="8"/>
      <c r="I154" s="8"/>
      <c r="J154" s="8"/>
    </row>
    <row r="155">
      <c r="A155" s="8"/>
      <c r="B155" s="8" t="str">
        <f>IF(ISBLANK(A155),"",VLOOKUP(A155,DOI_URL!$B$1:$C$74,2,FALSE()))</f>
        <v/>
      </c>
      <c r="C155" s="8"/>
      <c r="D155" s="8"/>
      <c r="I155" s="8"/>
      <c r="J155" s="8"/>
    </row>
    <row r="156">
      <c r="A156" s="8"/>
      <c r="B156" s="8" t="str">
        <f>IF(ISBLANK(A156),"",VLOOKUP(A156,DOI_URL!$B$1:$C$74,2,FALSE()))</f>
        <v/>
      </c>
      <c r="C156" s="8"/>
      <c r="D156" s="8"/>
      <c r="I156" s="8"/>
      <c r="J156" s="8"/>
    </row>
    <row r="157">
      <c r="A157" s="8"/>
      <c r="B157" s="8" t="str">
        <f>IF(ISBLANK(A157),"",VLOOKUP(A157,DOI_URL!$B$1:$C$74,2,FALSE()))</f>
        <v/>
      </c>
      <c r="C157" s="8"/>
      <c r="D157" s="8"/>
      <c r="I157" s="8"/>
      <c r="J157" s="8"/>
    </row>
    <row r="158">
      <c r="A158" s="8"/>
      <c r="B158" s="8" t="str">
        <f>IF(ISBLANK(A158),"",VLOOKUP(A158,DOI_URL!$B$1:$C$74,2,FALSE()))</f>
        <v/>
      </c>
      <c r="C158" s="8"/>
      <c r="D158" s="8"/>
      <c r="I158" s="8"/>
      <c r="J158" s="8"/>
    </row>
    <row r="159">
      <c r="A159" s="8"/>
      <c r="B159" s="8" t="str">
        <f>IF(ISBLANK(A159),"",VLOOKUP(A159,DOI_URL!$B$1:$C$74,2,FALSE()))</f>
        <v/>
      </c>
      <c r="C159" s="8"/>
      <c r="D159" s="8"/>
      <c r="I159" s="8"/>
      <c r="J159" s="8"/>
    </row>
    <row r="160">
      <c r="A160" s="8"/>
      <c r="B160" s="8" t="str">
        <f>IF(ISBLANK(A160),"",VLOOKUP(A160,DOI_URL!$B$1:$C$74,2,FALSE()))</f>
        <v/>
      </c>
      <c r="C160" s="8"/>
      <c r="D160" s="8"/>
      <c r="I160" s="8"/>
      <c r="J160" s="8"/>
    </row>
    <row r="161">
      <c r="A161" s="8"/>
      <c r="B161" s="8" t="str">
        <f>IF(ISBLANK(A161),"",VLOOKUP(A161,DOI_URL!$B$1:$C$74,2,FALSE()))</f>
        <v/>
      </c>
      <c r="C161" s="8"/>
      <c r="D161" s="8"/>
      <c r="I161" s="8"/>
      <c r="J161" s="8"/>
    </row>
    <row r="162">
      <c r="A162" s="8"/>
      <c r="B162" s="8" t="str">
        <f>IF(ISBLANK(A162),"",VLOOKUP(A162,DOI_URL!$B$1:$C$74,2,FALSE()))</f>
        <v/>
      </c>
      <c r="C162" s="8"/>
      <c r="D162" s="8"/>
      <c r="I162" s="8"/>
      <c r="J162" s="8"/>
    </row>
    <row r="163">
      <c r="A163" s="8"/>
      <c r="B163" s="8" t="str">
        <f>IF(ISBLANK(A163),"",VLOOKUP(A163,DOI_URL!$B$1:$C$74,2,FALSE()))</f>
        <v/>
      </c>
      <c r="C163" s="8"/>
      <c r="D163" s="8"/>
      <c r="I163" s="8"/>
      <c r="J163" s="8"/>
    </row>
    <row r="164">
      <c r="A164" s="8"/>
      <c r="B164" s="8" t="str">
        <f>IF(ISBLANK(A164),"",VLOOKUP(A164,DOI_URL!$B$1:$C$74,2,FALSE()))</f>
        <v/>
      </c>
      <c r="C164" s="8"/>
      <c r="D164" s="8"/>
      <c r="I164" s="8"/>
      <c r="J164" s="8"/>
    </row>
    <row r="165">
      <c r="A165" s="8"/>
      <c r="B165" s="8" t="str">
        <f>IF(ISBLANK(A165),"",VLOOKUP(A165,DOI_URL!$B$1:$C$74,2,FALSE()))</f>
        <v/>
      </c>
      <c r="C165" s="8"/>
      <c r="D165" s="8"/>
      <c r="I165" s="8"/>
      <c r="J165" s="8"/>
    </row>
    <row r="166">
      <c r="A166" s="8"/>
      <c r="B166" s="8" t="str">
        <f>IF(ISBLANK(A166),"",VLOOKUP(A166,DOI_URL!$B$1:$C$74,2,FALSE()))</f>
        <v/>
      </c>
      <c r="C166" s="8"/>
      <c r="D166" s="8"/>
      <c r="I166" s="8"/>
      <c r="J166" s="8"/>
    </row>
    <row r="167">
      <c r="A167" s="8"/>
      <c r="B167" s="8" t="str">
        <f>IF(ISBLANK(A167),"",VLOOKUP(A167,DOI_URL!$B$1:$C$74,2,FALSE()))</f>
        <v/>
      </c>
      <c r="C167" s="8"/>
      <c r="D167" s="8"/>
      <c r="I167" s="8"/>
      <c r="J167" s="8"/>
    </row>
    <row r="168">
      <c r="A168" s="8"/>
      <c r="B168" s="8" t="str">
        <f>IF(ISBLANK(A168),"",VLOOKUP(A168,DOI_URL!$B$1:$C$74,2,FALSE()))</f>
        <v/>
      </c>
      <c r="C168" s="8"/>
      <c r="D168" s="8"/>
      <c r="I168" s="8"/>
      <c r="J168" s="8"/>
    </row>
    <row r="169">
      <c r="A169" s="8"/>
      <c r="B169" s="8" t="str">
        <f>IF(ISBLANK(A169),"",VLOOKUP(A169,DOI_URL!$B$1:$C$74,2,FALSE()))</f>
        <v/>
      </c>
      <c r="C169" s="8"/>
      <c r="D169" s="8"/>
      <c r="I169" s="8"/>
      <c r="J169" s="8"/>
    </row>
    <row r="170">
      <c r="A170" s="8"/>
      <c r="B170" s="8" t="str">
        <f>IF(ISBLANK(A170),"",VLOOKUP(A170,DOI_URL!$B$1:$C$74,2,FALSE()))</f>
        <v/>
      </c>
      <c r="C170" s="8"/>
      <c r="D170" s="8"/>
      <c r="I170" s="8"/>
      <c r="J170" s="8"/>
    </row>
    <row r="171">
      <c r="A171" s="8"/>
      <c r="B171" s="8" t="str">
        <f>IF(ISBLANK(A171),"",VLOOKUP(A171,DOI_URL!$B$1:$C$74,2,FALSE()))</f>
        <v/>
      </c>
      <c r="C171" s="8"/>
      <c r="D171" s="8"/>
      <c r="I171" s="8"/>
      <c r="J171" s="8"/>
    </row>
    <row r="172">
      <c r="A172" s="8"/>
      <c r="B172" s="8" t="str">
        <f>IF(ISBLANK(A172),"",VLOOKUP(A172,DOI_URL!$B$1:$C$74,2,FALSE()))</f>
        <v/>
      </c>
      <c r="C172" s="8"/>
      <c r="D172" s="8"/>
      <c r="I172" s="8"/>
      <c r="J172" s="8"/>
    </row>
    <row r="173">
      <c r="A173" s="8"/>
      <c r="B173" s="8" t="str">
        <f>IF(ISBLANK(A173),"",VLOOKUP(A173,DOI_URL!$B$1:$C$74,2,FALSE()))</f>
        <v/>
      </c>
      <c r="C173" s="8"/>
      <c r="D173" s="8"/>
      <c r="I173" s="8"/>
      <c r="J173" s="8"/>
    </row>
    <row r="174">
      <c r="A174" s="8"/>
      <c r="B174" s="8" t="str">
        <f>IF(ISBLANK(A174),"",VLOOKUP(A174,DOI_URL!$B$1:$C$74,2,FALSE()))</f>
        <v/>
      </c>
      <c r="C174" s="8"/>
      <c r="D174" s="8"/>
      <c r="I174" s="8"/>
      <c r="J174" s="8"/>
    </row>
    <row r="175">
      <c r="A175" s="8"/>
      <c r="B175" s="8" t="str">
        <f>IF(ISBLANK(A175),"",VLOOKUP(A175,DOI_URL!$B$1:$C$74,2,FALSE()))</f>
        <v/>
      </c>
      <c r="C175" s="8"/>
      <c r="D175" s="8"/>
      <c r="I175" s="8"/>
      <c r="J175" s="8"/>
    </row>
    <row r="176">
      <c r="A176" s="8"/>
      <c r="B176" s="8" t="str">
        <f>IF(ISBLANK(A176),"",VLOOKUP(A176,DOI_URL!$B$1:$C$74,2,FALSE()))</f>
        <v/>
      </c>
      <c r="C176" s="8"/>
      <c r="D176" s="8"/>
      <c r="I176" s="8"/>
      <c r="J176" s="8"/>
    </row>
    <row r="177">
      <c r="A177" s="8"/>
      <c r="B177" s="8" t="str">
        <f>IF(ISBLANK(A177),"",VLOOKUP(A177,DOI_URL!$B$1:$C$74,2,FALSE()))</f>
        <v/>
      </c>
      <c r="C177" s="8"/>
      <c r="D177" s="8"/>
      <c r="I177" s="8"/>
      <c r="J177" s="8"/>
    </row>
    <row r="178">
      <c r="A178" s="8"/>
      <c r="B178" s="8" t="str">
        <f>IF(ISBLANK(A178),"",VLOOKUP(A178,DOI_URL!$B$1:$C$74,2,FALSE()))</f>
        <v/>
      </c>
      <c r="C178" s="8"/>
      <c r="D178" s="8"/>
      <c r="I178" s="8"/>
      <c r="J178" s="8"/>
    </row>
    <row r="179">
      <c r="A179" s="8"/>
      <c r="B179" s="8" t="str">
        <f>IF(ISBLANK(A179),"",VLOOKUP(A179,DOI_URL!$B$1:$C$74,2,FALSE()))</f>
        <v/>
      </c>
      <c r="C179" s="8"/>
      <c r="D179" s="8"/>
      <c r="I179" s="8"/>
      <c r="J179" s="8"/>
    </row>
    <row r="180">
      <c r="A180" s="8"/>
      <c r="B180" s="8" t="str">
        <f>IF(ISBLANK(A180),"",VLOOKUP(A180,DOI_URL!$B$1:$C$74,2,FALSE()))</f>
        <v/>
      </c>
      <c r="C180" s="8"/>
      <c r="D180" s="8"/>
      <c r="I180" s="8"/>
      <c r="J180" s="8"/>
    </row>
    <row r="181">
      <c r="A181" s="8"/>
      <c r="B181" s="8" t="str">
        <f>IF(ISBLANK(A181),"",VLOOKUP(A181,DOI_URL!$B$1:$C$74,2,FALSE()))</f>
        <v/>
      </c>
      <c r="C181" s="8"/>
      <c r="D181" s="8"/>
      <c r="I181" s="8"/>
      <c r="J181" s="8"/>
    </row>
    <row r="182">
      <c r="A182" s="8"/>
      <c r="B182" s="8" t="str">
        <f>IF(ISBLANK(A182),"",VLOOKUP(A182,DOI_URL!$B$1:$C$74,2,FALSE()))</f>
        <v/>
      </c>
      <c r="C182" s="8"/>
      <c r="D182" s="8"/>
      <c r="I182" s="8"/>
      <c r="J182" s="8"/>
    </row>
    <row r="183">
      <c r="A183" s="8"/>
      <c r="B183" s="8" t="str">
        <f>IF(ISBLANK(A183),"",VLOOKUP(A183,DOI_URL!$B$1:$C$74,2,FALSE()))</f>
        <v/>
      </c>
      <c r="C183" s="8"/>
      <c r="D183" s="8"/>
      <c r="I183" s="8"/>
      <c r="J183" s="8"/>
    </row>
    <row r="184">
      <c r="A184" s="8"/>
      <c r="B184" s="8" t="str">
        <f>IF(ISBLANK(A184),"",VLOOKUP(A184,DOI_URL!$B$1:$C$74,2,FALSE()))</f>
        <v/>
      </c>
      <c r="C184" s="8"/>
      <c r="D184" s="8"/>
      <c r="I184" s="8"/>
      <c r="J184" s="8"/>
    </row>
    <row r="185">
      <c r="A185" s="8"/>
      <c r="B185" s="8" t="str">
        <f>IF(ISBLANK(A185),"",VLOOKUP(A185,DOI_URL!$B$1:$C$74,2,FALSE()))</f>
        <v/>
      </c>
      <c r="C185" s="8"/>
      <c r="D185" s="8"/>
      <c r="I185" s="8"/>
      <c r="J185" s="8"/>
    </row>
    <row r="186">
      <c r="A186" s="8"/>
      <c r="B186" s="8" t="str">
        <f>IF(ISBLANK(A186),"",VLOOKUP(A186,DOI_URL!$B$1:$C$74,2,FALSE()))</f>
        <v/>
      </c>
      <c r="C186" s="8"/>
      <c r="D186" s="8"/>
      <c r="I186" s="8"/>
      <c r="J186" s="8"/>
    </row>
    <row r="187">
      <c r="A187" s="8"/>
      <c r="B187" s="8" t="str">
        <f>IF(ISBLANK(A187),"",VLOOKUP(A187,DOI_URL!$B$1:$C$74,2,FALSE()))</f>
        <v/>
      </c>
      <c r="C187" s="8"/>
      <c r="D187" s="8"/>
      <c r="I187" s="8"/>
      <c r="J187" s="8"/>
    </row>
    <row r="188">
      <c r="A188" s="8"/>
      <c r="B188" s="8" t="str">
        <f>IF(ISBLANK(A188),"",VLOOKUP(A188,DOI_URL!$B$1:$C$74,2,FALSE()))</f>
        <v/>
      </c>
      <c r="C188" s="8"/>
      <c r="D188" s="8"/>
      <c r="I188" s="8"/>
      <c r="J188" s="8"/>
    </row>
    <row r="189">
      <c r="A189" s="8"/>
      <c r="B189" s="8" t="str">
        <f>IF(ISBLANK(A189),"",VLOOKUP(A189,DOI_URL!$B$1:$C$74,2,FALSE()))</f>
        <v/>
      </c>
      <c r="C189" s="8"/>
      <c r="D189" s="8"/>
      <c r="I189" s="8"/>
      <c r="J189" s="8"/>
    </row>
    <row r="190">
      <c r="A190" s="8"/>
      <c r="B190" s="8" t="str">
        <f>IF(ISBLANK(A190),"",VLOOKUP(A190,DOI_URL!$B$1:$C$74,2,FALSE()))</f>
        <v/>
      </c>
      <c r="C190" s="8"/>
      <c r="D190" s="8"/>
      <c r="I190" s="8"/>
      <c r="J190" s="8"/>
    </row>
    <row r="191">
      <c r="A191" s="8"/>
      <c r="B191" s="8" t="str">
        <f>IF(ISBLANK(A191),"",VLOOKUP(A191,DOI_URL!$B$1:$C$74,2,FALSE()))</f>
        <v/>
      </c>
      <c r="C191" s="8"/>
      <c r="D191" s="8"/>
      <c r="I191" s="8"/>
      <c r="J191" s="8"/>
    </row>
    <row r="192">
      <c r="A192" s="8"/>
      <c r="B192" s="8" t="str">
        <f>IF(ISBLANK(A192),"",VLOOKUP(A192,DOI_URL!$B$1:$C$74,2,FALSE()))</f>
        <v/>
      </c>
      <c r="C192" s="8"/>
      <c r="D192" s="8"/>
      <c r="I192" s="8"/>
      <c r="J192" s="8"/>
    </row>
    <row r="193">
      <c r="A193" s="8"/>
      <c r="B193" s="8" t="str">
        <f>IF(ISBLANK(A193),"",VLOOKUP(A193,DOI_URL!$B$1:$C$74,2,FALSE()))</f>
        <v/>
      </c>
      <c r="C193" s="8"/>
      <c r="D193" s="8"/>
      <c r="I193" s="8"/>
      <c r="J193" s="8"/>
    </row>
    <row r="194">
      <c r="A194" s="8"/>
      <c r="B194" s="8" t="str">
        <f>IF(ISBLANK(A194),"",VLOOKUP(A194,DOI_URL!$B$1:$C$74,2,FALSE()))</f>
        <v/>
      </c>
      <c r="C194" s="8"/>
      <c r="D194" s="8"/>
      <c r="I194" s="8"/>
      <c r="J194" s="8"/>
    </row>
    <row r="195">
      <c r="A195" s="8"/>
      <c r="B195" s="8" t="str">
        <f>IF(ISBLANK(A195),"",VLOOKUP(A195,DOI_URL!$B$1:$C$74,2,FALSE()))</f>
        <v/>
      </c>
      <c r="C195" s="8"/>
      <c r="D195" s="8"/>
      <c r="I195" s="8"/>
      <c r="J195" s="8"/>
    </row>
    <row r="196">
      <c r="A196" s="8"/>
      <c r="B196" s="8" t="str">
        <f>IF(ISBLANK(A196),"",VLOOKUP(A196,DOI_URL!$B$1:$C$74,2,FALSE()))</f>
        <v/>
      </c>
      <c r="C196" s="8"/>
      <c r="D196" s="8"/>
      <c r="I196" s="8"/>
      <c r="J196" s="8"/>
    </row>
    <row r="197">
      <c r="A197" s="8"/>
      <c r="B197" s="8" t="str">
        <f>IF(ISBLANK(A197),"",VLOOKUP(A197,DOI_URL!$B$1:$C$74,2,FALSE()))</f>
        <v/>
      </c>
      <c r="C197" s="8"/>
      <c r="D197" s="8"/>
      <c r="I197" s="8"/>
      <c r="J197" s="8"/>
    </row>
    <row r="198">
      <c r="A198" s="8"/>
      <c r="B198" s="8" t="str">
        <f>IF(ISBLANK(A198),"",VLOOKUP(A198,DOI_URL!$B$1:$C$74,2,FALSE()))</f>
        <v/>
      </c>
      <c r="C198" s="8"/>
      <c r="D198" s="8"/>
      <c r="I198" s="8"/>
      <c r="J198" s="8"/>
    </row>
    <row r="199">
      <c r="A199" s="8"/>
      <c r="B199" s="8" t="str">
        <f>IF(ISBLANK(A199),"",VLOOKUP(A199,DOI_URL!$B$1:$C$74,2,FALSE()))</f>
        <v/>
      </c>
      <c r="C199" s="8"/>
      <c r="D199" s="8"/>
      <c r="I199" s="8"/>
      <c r="J199" s="8"/>
    </row>
    <row r="200">
      <c r="A200" s="8"/>
      <c r="B200" s="8" t="str">
        <f>IF(ISBLANK(A200),"",VLOOKUP(A200,DOI_URL!$B$1:$C$74,2,FALSE()))</f>
        <v/>
      </c>
      <c r="C200" s="8"/>
      <c r="D200" s="8"/>
      <c r="I200" s="8"/>
      <c r="J200" s="8"/>
    </row>
    <row r="201">
      <c r="A201" s="8"/>
      <c r="B201" s="8" t="str">
        <f>IF(ISBLANK(A201),"",VLOOKUP(A201,DOI_URL!$B$1:$C$74,2,FALSE()))</f>
        <v/>
      </c>
      <c r="C201" s="8"/>
      <c r="D201" s="8"/>
      <c r="I201" s="8"/>
      <c r="J201" s="8"/>
    </row>
    <row r="202">
      <c r="A202" s="8"/>
      <c r="B202" s="8" t="str">
        <f>IF(ISBLANK(A202),"",VLOOKUP(A202,DOI_URL!$B$1:$C$74,2,FALSE()))</f>
        <v/>
      </c>
      <c r="C202" s="8"/>
      <c r="D202" s="8"/>
      <c r="I202" s="8"/>
      <c r="J202" s="8"/>
    </row>
    <row r="203">
      <c r="A203" s="8"/>
      <c r="B203" s="8" t="str">
        <f>IF(ISBLANK(A203),"",VLOOKUP(A203,DOI_URL!$B$1:$C$74,2,FALSE()))</f>
        <v/>
      </c>
      <c r="C203" s="8"/>
      <c r="D203" s="8"/>
      <c r="I203" s="8"/>
      <c r="J203" s="8"/>
    </row>
    <row r="204">
      <c r="A204" s="8"/>
      <c r="B204" s="8" t="str">
        <f>IF(ISBLANK(A204),"",VLOOKUP(A204,DOI_URL!$B$1:$C$74,2,FALSE()))</f>
        <v/>
      </c>
      <c r="C204" s="8"/>
      <c r="D204" s="8"/>
      <c r="I204" s="8"/>
      <c r="J204" s="8"/>
    </row>
    <row r="205">
      <c r="A205" s="8"/>
      <c r="B205" s="8" t="str">
        <f>IF(ISBLANK(A205),"",VLOOKUP(A205,DOI_URL!$B$1:$C$74,2,FALSE()))</f>
        <v/>
      </c>
      <c r="C205" s="8"/>
      <c r="D205" s="8"/>
      <c r="I205" s="8"/>
      <c r="J205" s="8"/>
    </row>
    <row r="206">
      <c r="A206" s="8"/>
      <c r="B206" s="8" t="str">
        <f>IF(ISBLANK(A206),"",VLOOKUP(A206,DOI_URL!$B$1:$C$74,2,FALSE()))</f>
        <v/>
      </c>
      <c r="C206" s="8"/>
      <c r="D206" s="8"/>
      <c r="I206" s="8"/>
      <c r="J206" s="8"/>
    </row>
    <row r="207">
      <c r="A207" s="8"/>
      <c r="B207" s="8" t="str">
        <f>IF(ISBLANK(A207),"",VLOOKUP(A207,DOI_URL!$B$1:$C$74,2,FALSE()))</f>
        <v/>
      </c>
      <c r="C207" s="8"/>
      <c r="D207" s="8"/>
      <c r="I207" s="8"/>
      <c r="J207" s="8"/>
    </row>
    <row r="208">
      <c r="A208" s="8"/>
      <c r="B208" s="8" t="str">
        <f>IF(ISBLANK(A208),"",VLOOKUP(A208,DOI_URL!$B$1:$C$74,2,FALSE()))</f>
        <v/>
      </c>
      <c r="C208" s="8"/>
      <c r="D208" s="8"/>
      <c r="I208" s="8"/>
      <c r="J208" s="8"/>
    </row>
    <row r="209">
      <c r="A209" s="8"/>
      <c r="B209" s="8" t="str">
        <f>IF(ISBLANK(A209),"",VLOOKUP(A209,DOI_URL!$B$1:$C$74,2,FALSE()))</f>
        <v/>
      </c>
      <c r="C209" s="8"/>
      <c r="D209" s="8"/>
      <c r="I209" s="8"/>
      <c r="J209" s="8"/>
    </row>
    <row r="210">
      <c r="A210" s="8"/>
      <c r="B210" s="8" t="str">
        <f>IF(ISBLANK(A210),"",VLOOKUP(A210,DOI_URL!$B$1:$C$74,2,FALSE()))</f>
        <v/>
      </c>
      <c r="C210" s="8"/>
      <c r="D210" s="8"/>
      <c r="I210" s="8"/>
      <c r="J210" s="8"/>
    </row>
    <row r="211">
      <c r="A211" s="8"/>
      <c r="B211" s="8" t="str">
        <f>IF(ISBLANK(A211),"",VLOOKUP(A211,DOI_URL!$B$1:$C$74,2,FALSE()))</f>
        <v/>
      </c>
      <c r="C211" s="8"/>
      <c r="D211" s="8"/>
      <c r="I211" s="8"/>
      <c r="J211" s="8"/>
    </row>
    <row r="212">
      <c r="A212" s="8"/>
      <c r="B212" s="8" t="str">
        <f>IF(ISBLANK(A212),"",VLOOKUP(A212,DOI_URL!$B$1:$C$74,2,FALSE()))</f>
        <v/>
      </c>
      <c r="C212" s="8"/>
      <c r="D212" s="8"/>
      <c r="I212" s="8"/>
      <c r="J212" s="8"/>
    </row>
    <row r="213">
      <c r="A213" s="8"/>
      <c r="B213" s="8" t="str">
        <f>IF(ISBLANK(A213),"",VLOOKUP(A213,DOI_URL!$B$1:$C$74,2,FALSE()))</f>
        <v/>
      </c>
      <c r="C213" s="8"/>
      <c r="D213" s="8"/>
      <c r="I213" s="8"/>
      <c r="J213" s="8"/>
    </row>
    <row r="214">
      <c r="A214" s="8"/>
      <c r="B214" s="8" t="str">
        <f>IF(ISBLANK(A214),"",VLOOKUP(A214,DOI_URL!$B$1:$C$74,2,FALSE()))</f>
        <v/>
      </c>
      <c r="C214" s="8"/>
      <c r="D214" s="8"/>
      <c r="I214" s="8"/>
      <c r="J214" s="8"/>
    </row>
    <row r="215">
      <c r="A215" s="8"/>
      <c r="B215" s="8" t="str">
        <f>IF(ISBLANK(A215),"",VLOOKUP(A215,DOI_URL!$B$1:$C$74,2,FALSE()))</f>
        <v/>
      </c>
      <c r="C215" s="8"/>
      <c r="D215" s="8"/>
      <c r="I215" s="8"/>
      <c r="J215" s="8"/>
    </row>
    <row r="216">
      <c r="A216" s="8"/>
      <c r="B216" s="8" t="str">
        <f>IF(ISBLANK(A216),"",VLOOKUP(A216,DOI_URL!$B$1:$C$74,2,FALSE()))</f>
        <v/>
      </c>
      <c r="C216" s="8"/>
      <c r="D216" s="8"/>
      <c r="I216" s="8"/>
      <c r="J216" s="8"/>
    </row>
    <row r="217">
      <c r="A217" s="8"/>
      <c r="B217" s="8" t="str">
        <f>IF(ISBLANK(A217),"",VLOOKUP(A217,DOI_URL!$B$1:$C$74,2,FALSE()))</f>
        <v/>
      </c>
      <c r="C217" s="8"/>
      <c r="D217" s="8"/>
      <c r="I217" s="8"/>
      <c r="J217" s="8"/>
    </row>
    <row r="218">
      <c r="A218" s="8"/>
      <c r="B218" s="8" t="str">
        <f>IF(ISBLANK(A218),"",VLOOKUP(A218,DOI_URL!$B$1:$C$74,2,FALSE()))</f>
        <v/>
      </c>
      <c r="C218" s="8"/>
      <c r="D218" s="8"/>
      <c r="I218" s="8"/>
      <c r="J218" s="8"/>
    </row>
    <row r="219">
      <c r="A219" s="8"/>
      <c r="B219" s="8" t="str">
        <f>IF(ISBLANK(A219),"",VLOOKUP(A219,DOI_URL!$B$1:$C$74,2,FALSE()))</f>
        <v/>
      </c>
      <c r="C219" s="8"/>
      <c r="D219" s="8"/>
      <c r="I219" s="8"/>
      <c r="J219" s="8"/>
    </row>
    <row r="220">
      <c r="A220" s="8"/>
      <c r="B220" s="8" t="str">
        <f>IF(ISBLANK(A220),"",VLOOKUP(A220,DOI_URL!$B$1:$C$74,2,FALSE()))</f>
        <v/>
      </c>
      <c r="C220" s="8"/>
      <c r="D220" s="8"/>
      <c r="I220" s="8"/>
      <c r="J220" s="8"/>
    </row>
    <row r="221">
      <c r="A221" s="8"/>
      <c r="B221" s="8" t="str">
        <f>IF(ISBLANK(A221),"",VLOOKUP(A221,DOI_URL!$B$1:$C$74,2,FALSE()))</f>
        <v/>
      </c>
      <c r="C221" s="8"/>
      <c r="D221" s="8"/>
      <c r="I221" s="8"/>
      <c r="J221" s="8"/>
    </row>
    <row r="222">
      <c r="A222" s="8"/>
      <c r="B222" s="8" t="str">
        <f>IF(ISBLANK(A222),"",VLOOKUP(A222,DOI_URL!$B$1:$C$74,2,FALSE()))</f>
        <v/>
      </c>
      <c r="C222" s="8"/>
      <c r="D222" s="8"/>
      <c r="I222" s="8"/>
      <c r="J222" s="8"/>
    </row>
    <row r="223">
      <c r="A223" s="8"/>
      <c r="B223" s="8" t="str">
        <f>IF(ISBLANK(A223),"",VLOOKUP(A223,DOI_URL!$B$1:$C$74,2,FALSE()))</f>
        <v/>
      </c>
      <c r="C223" s="8"/>
      <c r="D223" s="8"/>
      <c r="I223" s="8"/>
      <c r="J223" s="8"/>
    </row>
    <row r="224">
      <c r="A224" s="8"/>
      <c r="B224" s="8" t="str">
        <f>IF(ISBLANK(A224),"",VLOOKUP(A224,DOI_URL!$B$1:$C$74,2,FALSE()))</f>
        <v/>
      </c>
      <c r="C224" s="8"/>
      <c r="D224" s="8"/>
      <c r="I224" s="8"/>
      <c r="J224" s="8"/>
    </row>
    <row r="225">
      <c r="A225" s="8"/>
      <c r="B225" s="8" t="str">
        <f>IF(ISBLANK(A225),"",VLOOKUP(A225,DOI_URL!$B$1:$C$74,2,FALSE()))</f>
        <v/>
      </c>
      <c r="C225" s="8"/>
      <c r="D225" s="8"/>
      <c r="I225" s="8"/>
      <c r="J225" s="8"/>
    </row>
    <row r="226">
      <c r="A226" s="8"/>
      <c r="B226" s="8" t="str">
        <f>IF(ISBLANK(A226),"",VLOOKUP(A226,DOI_URL!$B$1:$C$74,2,FALSE()))</f>
        <v/>
      </c>
      <c r="C226" s="8"/>
      <c r="D226" s="8"/>
      <c r="I226" s="8"/>
      <c r="J226" s="8"/>
    </row>
    <row r="227">
      <c r="A227" s="8"/>
      <c r="B227" s="8" t="str">
        <f>IF(ISBLANK(A227),"",VLOOKUP(A227,DOI_URL!$B$1:$C$74,2,FALSE()))</f>
        <v/>
      </c>
      <c r="C227" s="8"/>
      <c r="D227" s="8"/>
      <c r="I227" s="8"/>
      <c r="J227" s="8"/>
    </row>
    <row r="228">
      <c r="A228" s="8"/>
      <c r="B228" s="8" t="str">
        <f>IF(ISBLANK(A228),"",VLOOKUP(A228,DOI_URL!$B$1:$C$74,2,FALSE()))</f>
        <v/>
      </c>
      <c r="C228" s="8"/>
      <c r="D228" s="8"/>
      <c r="I228" s="8"/>
      <c r="J228" s="8"/>
    </row>
    <row r="229">
      <c r="A229" s="8"/>
      <c r="B229" s="8" t="str">
        <f>IF(ISBLANK(A229),"",VLOOKUP(A229,DOI_URL!$B$1:$C$74,2,FALSE()))</f>
        <v/>
      </c>
      <c r="C229" s="8"/>
      <c r="D229" s="8"/>
      <c r="I229" s="8"/>
      <c r="J229" s="8"/>
    </row>
    <row r="230">
      <c r="A230" s="8"/>
      <c r="B230" s="8" t="str">
        <f>IF(ISBLANK(A230),"",VLOOKUP(A230,DOI_URL!$B$1:$C$74,2,FALSE()))</f>
        <v/>
      </c>
      <c r="C230" s="8"/>
      <c r="D230" s="8"/>
      <c r="I230" s="8"/>
      <c r="J230" s="8"/>
    </row>
    <row r="231">
      <c r="A231" s="8"/>
      <c r="B231" s="8" t="str">
        <f>IF(ISBLANK(A231),"",VLOOKUP(A231,DOI_URL!$B$1:$C$74,2,FALSE()))</f>
        <v/>
      </c>
      <c r="C231" s="8"/>
      <c r="D231" s="8"/>
      <c r="I231" s="8"/>
      <c r="J231" s="8"/>
    </row>
    <row r="232">
      <c r="A232" s="8"/>
      <c r="B232" s="8" t="str">
        <f>IF(ISBLANK(A232),"",VLOOKUP(A232,DOI_URL!$B$1:$C$74,2,FALSE()))</f>
        <v/>
      </c>
      <c r="C232" s="8"/>
      <c r="D232" s="8"/>
      <c r="I232" s="8"/>
      <c r="J232" s="8"/>
    </row>
    <row r="233">
      <c r="A233" s="8"/>
      <c r="B233" s="8" t="str">
        <f>IF(ISBLANK(A233),"",VLOOKUP(A233,DOI_URL!$B$1:$C$74,2,FALSE()))</f>
        <v/>
      </c>
      <c r="C233" s="8"/>
      <c r="D233" s="8"/>
      <c r="I233" s="8"/>
      <c r="J233" s="8"/>
    </row>
    <row r="234">
      <c r="A234" s="8"/>
      <c r="B234" s="8" t="str">
        <f>IF(ISBLANK(A234),"",VLOOKUP(A234,DOI_URL!$B$1:$C$74,2,FALSE()))</f>
        <v/>
      </c>
      <c r="C234" s="8"/>
      <c r="D234" s="8"/>
      <c r="I234" s="8"/>
      <c r="J234" s="8"/>
    </row>
    <row r="235">
      <c r="A235" s="8"/>
      <c r="B235" s="8" t="str">
        <f>IF(ISBLANK(A235),"",VLOOKUP(A235,DOI_URL!$B$1:$C$74,2,FALSE()))</f>
        <v/>
      </c>
      <c r="C235" s="8"/>
      <c r="D235" s="8"/>
      <c r="I235" s="8"/>
      <c r="J235" s="8"/>
    </row>
    <row r="236">
      <c r="A236" s="8"/>
      <c r="B236" s="8" t="str">
        <f>IF(ISBLANK(A236),"",VLOOKUP(A236,DOI_URL!$B$1:$C$74,2,FALSE()))</f>
        <v/>
      </c>
      <c r="C236" s="8"/>
      <c r="D236" s="8"/>
      <c r="I236" s="8"/>
      <c r="J236" s="8"/>
    </row>
    <row r="237">
      <c r="A237" s="8"/>
      <c r="B237" s="8" t="str">
        <f>IF(ISBLANK(A237),"",VLOOKUP(A237,DOI_URL!$B$1:$C$74,2,FALSE()))</f>
        <v/>
      </c>
      <c r="C237" s="8"/>
      <c r="D237" s="8"/>
      <c r="I237" s="8"/>
      <c r="J237" s="8"/>
    </row>
    <row r="238">
      <c r="A238" s="8"/>
      <c r="B238" s="8" t="str">
        <f>IF(ISBLANK(A238),"",VLOOKUP(A238,DOI_URL!$B$1:$C$74,2,FALSE()))</f>
        <v/>
      </c>
      <c r="C238" s="8"/>
      <c r="D238" s="8"/>
      <c r="I238" s="8"/>
      <c r="J238" s="8"/>
    </row>
    <row r="239">
      <c r="A239" s="8"/>
      <c r="B239" s="8" t="str">
        <f>IF(ISBLANK(A239),"",VLOOKUP(A239,DOI_URL!$B$1:$C$74,2,FALSE()))</f>
        <v/>
      </c>
      <c r="C239" s="8"/>
      <c r="D239" s="8"/>
      <c r="I239" s="8"/>
      <c r="J239" s="8"/>
    </row>
    <row r="240">
      <c r="A240" s="8"/>
      <c r="B240" s="8" t="str">
        <f>IF(ISBLANK(A240),"",VLOOKUP(A240,DOI_URL!$B$1:$C$74,2,FALSE()))</f>
        <v/>
      </c>
      <c r="C240" s="8"/>
      <c r="D240" s="8"/>
      <c r="I240" s="8"/>
      <c r="J240" s="8"/>
    </row>
    <row r="241">
      <c r="A241" s="8"/>
      <c r="B241" s="8" t="str">
        <f>IF(ISBLANK(A241),"",VLOOKUP(A241,DOI_URL!$B$1:$C$74,2,FALSE()))</f>
        <v/>
      </c>
      <c r="C241" s="8"/>
      <c r="D241" s="8"/>
      <c r="I241" s="8"/>
      <c r="J241" s="8"/>
    </row>
    <row r="242">
      <c r="A242" s="8"/>
      <c r="B242" s="8" t="str">
        <f>IF(ISBLANK(A242),"",VLOOKUP(A242,DOI_URL!$B$1:$C$74,2,FALSE()))</f>
        <v/>
      </c>
      <c r="C242" s="8"/>
      <c r="D242" s="8"/>
      <c r="I242" s="8"/>
      <c r="J242" s="8"/>
    </row>
    <row r="243">
      <c r="A243" s="8"/>
      <c r="B243" s="8" t="str">
        <f>IF(ISBLANK(A243),"",VLOOKUP(A243,DOI_URL!$B$1:$C$74,2,FALSE()))</f>
        <v/>
      </c>
      <c r="C243" s="8"/>
      <c r="D243" s="8"/>
      <c r="I243" s="8"/>
      <c r="J243" s="8"/>
    </row>
    <row r="244">
      <c r="A244" s="8"/>
      <c r="B244" s="8" t="str">
        <f>IF(ISBLANK(A244),"",VLOOKUP(A244,DOI_URL!$B$1:$C$74,2,FALSE()))</f>
        <v/>
      </c>
      <c r="C244" s="8"/>
      <c r="D244" s="8"/>
      <c r="I244" s="8"/>
      <c r="J244" s="8"/>
    </row>
    <row r="245">
      <c r="A245" s="8"/>
      <c r="B245" s="8" t="str">
        <f>IF(ISBLANK(A245),"",VLOOKUP(A245,DOI_URL!$B$1:$C$74,2,FALSE()))</f>
        <v/>
      </c>
      <c r="C245" s="8"/>
      <c r="D245" s="8"/>
      <c r="I245" s="8"/>
      <c r="J245" s="8"/>
    </row>
    <row r="246">
      <c r="A246" s="8"/>
      <c r="B246" s="8" t="str">
        <f>IF(ISBLANK(A246),"",VLOOKUP(A246,DOI_URL!$B$1:$C$74,2,FALSE()))</f>
        <v/>
      </c>
      <c r="C246" s="8"/>
      <c r="D246" s="8"/>
      <c r="I246" s="8"/>
      <c r="J246" s="8"/>
    </row>
    <row r="247">
      <c r="A247" s="8"/>
      <c r="B247" s="8" t="str">
        <f>IF(ISBLANK(A247),"",VLOOKUP(A247,DOI_URL!$B$1:$C$74,2,FALSE()))</f>
        <v/>
      </c>
      <c r="C247" s="8"/>
      <c r="D247" s="8"/>
      <c r="I247" s="8"/>
      <c r="J247" s="8"/>
    </row>
    <row r="248">
      <c r="A248" s="8"/>
      <c r="B248" s="8" t="str">
        <f>IF(ISBLANK(A248),"",VLOOKUP(A248,DOI_URL!$B$1:$C$74,2,FALSE()))</f>
        <v/>
      </c>
      <c r="C248" s="8"/>
      <c r="D248" s="8"/>
      <c r="I248" s="8"/>
      <c r="J248" s="8"/>
    </row>
    <row r="249">
      <c r="A249" s="8"/>
      <c r="B249" s="8" t="str">
        <f>IF(ISBLANK(A249),"",VLOOKUP(A249,DOI_URL!$B$1:$C$74,2,FALSE()))</f>
        <v/>
      </c>
      <c r="C249" s="8"/>
      <c r="D249" s="8"/>
      <c r="I249" s="8"/>
      <c r="J249" s="8"/>
    </row>
    <row r="250">
      <c r="A250" s="8"/>
      <c r="B250" s="8" t="str">
        <f>IF(ISBLANK(A250),"",VLOOKUP(A250,DOI_URL!$B$1:$C$74,2,FALSE()))</f>
        <v/>
      </c>
      <c r="C250" s="8"/>
      <c r="D250" s="8"/>
      <c r="I250" s="8"/>
      <c r="J250" s="8"/>
    </row>
    <row r="251">
      <c r="A251" s="8"/>
      <c r="B251" s="8" t="str">
        <f>IF(ISBLANK(A251),"",VLOOKUP(A251,DOI_URL!$B$1:$C$74,2,FALSE()))</f>
        <v/>
      </c>
      <c r="C251" s="8"/>
      <c r="D251" s="8"/>
      <c r="I251" s="8"/>
      <c r="J251" s="8"/>
    </row>
    <row r="252">
      <c r="A252" s="8"/>
      <c r="B252" s="8" t="str">
        <f>IF(ISBLANK(A252),"",VLOOKUP(A252,DOI_URL!$B$1:$C$74,2,FALSE()))</f>
        <v/>
      </c>
      <c r="C252" s="8"/>
      <c r="D252" s="8"/>
      <c r="I252" s="8"/>
      <c r="J252" s="8"/>
    </row>
    <row r="253">
      <c r="A253" s="8"/>
      <c r="B253" s="8" t="str">
        <f>IF(ISBLANK(A253),"",VLOOKUP(A253,DOI_URL!$B$1:$C$74,2,FALSE()))</f>
        <v/>
      </c>
      <c r="C253" s="8"/>
      <c r="D253" s="8"/>
      <c r="I253" s="8"/>
      <c r="J253" s="8"/>
    </row>
    <row r="254">
      <c r="A254" s="8"/>
      <c r="B254" s="8" t="str">
        <f>IF(ISBLANK(A254),"",VLOOKUP(A254,DOI_URL!$B$1:$C$74,2,FALSE()))</f>
        <v/>
      </c>
      <c r="C254" s="8"/>
      <c r="D254" s="8"/>
      <c r="I254" s="8"/>
      <c r="J254" s="8"/>
    </row>
    <row r="255">
      <c r="A255" s="8"/>
      <c r="B255" s="8" t="str">
        <f>IF(ISBLANK(A255),"",VLOOKUP(A255,DOI_URL!$B$1:$C$74,2,FALSE()))</f>
        <v/>
      </c>
      <c r="C255" s="8"/>
      <c r="D255" s="8"/>
      <c r="I255" s="8"/>
      <c r="J255" s="8"/>
    </row>
    <row r="256">
      <c r="A256" s="8"/>
      <c r="B256" s="8" t="str">
        <f>IF(ISBLANK(A256),"",VLOOKUP(A256,DOI_URL!$B$1:$C$74,2,FALSE()))</f>
        <v/>
      </c>
      <c r="C256" s="8"/>
      <c r="D256" s="8"/>
      <c r="I256" s="8"/>
      <c r="J256" s="8"/>
    </row>
    <row r="257">
      <c r="A257" s="8"/>
      <c r="B257" s="8" t="str">
        <f>IF(ISBLANK(A257),"",VLOOKUP(A257,DOI_URL!$B$1:$C$74,2,FALSE()))</f>
        <v/>
      </c>
      <c r="C257" s="8"/>
      <c r="D257" s="8"/>
      <c r="I257" s="8"/>
      <c r="J257" s="8"/>
    </row>
    <row r="258">
      <c r="A258" s="8"/>
      <c r="B258" s="8" t="str">
        <f>IF(ISBLANK(A258),"",VLOOKUP(A258,DOI_URL!$B$1:$C$74,2,FALSE()))</f>
        <v/>
      </c>
      <c r="C258" s="8"/>
      <c r="D258" s="8"/>
      <c r="I258" s="8"/>
      <c r="J258" s="8"/>
    </row>
    <row r="259">
      <c r="A259" s="8"/>
      <c r="B259" s="8" t="str">
        <f>IF(ISBLANK(A259),"",VLOOKUP(A259,DOI_URL!$B$1:$C$74,2,FALSE()))</f>
        <v/>
      </c>
      <c r="C259" s="8"/>
      <c r="D259" s="8"/>
      <c r="I259" s="8"/>
      <c r="J259" s="8"/>
    </row>
    <row r="260">
      <c r="A260" s="8"/>
      <c r="B260" s="8" t="str">
        <f>IF(ISBLANK(A260),"",VLOOKUP(A260,DOI_URL!$B$1:$C$74,2,FALSE()))</f>
        <v/>
      </c>
      <c r="C260" s="8"/>
      <c r="D260" s="8"/>
      <c r="I260" s="8"/>
      <c r="J260" s="8"/>
    </row>
    <row r="261">
      <c r="A261" s="8"/>
      <c r="B261" s="8" t="str">
        <f>IF(ISBLANK(A261),"",VLOOKUP(A261,DOI_URL!$B$1:$C$74,2,FALSE()))</f>
        <v/>
      </c>
      <c r="C261" s="8"/>
      <c r="D261" s="8"/>
      <c r="I261" s="8"/>
      <c r="J261" s="8"/>
    </row>
    <row r="262">
      <c r="A262" s="8"/>
      <c r="B262" s="8" t="str">
        <f>IF(ISBLANK(A262),"",VLOOKUP(A262,DOI_URL!$B$1:$C$74,2,FALSE()))</f>
        <v/>
      </c>
      <c r="C262" s="8"/>
      <c r="D262" s="8"/>
      <c r="I262" s="8"/>
      <c r="J262" s="8"/>
    </row>
    <row r="263">
      <c r="A263" s="8"/>
      <c r="B263" s="8" t="str">
        <f>IF(ISBLANK(A263),"",VLOOKUP(A263,DOI_URL!$B$1:$C$74,2,FALSE()))</f>
        <v/>
      </c>
      <c r="C263" s="8"/>
      <c r="D263" s="8"/>
      <c r="I263" s="8"/>
      <c r="J263" s="8"/>
    </row>
    <row r="264">
      <c r="A264" s="8"/>
      <c r="B264" s="8" t="str">
        <f>IF(ISBLANK(A264),"",VLOOKUP(A264,DOI_URL!$B$1:$C$74,2,FALSE()))</f>
        <v/>
      </c>
      <c r="C264" s="8"/>
      <c r="D264" s="8"/>
      <c r="I264" s="8"/>
      <c r="J264" s="8"/>
    </row>
    <row r="265">
      <c r="A265" s="8"/>
      <c r="B265" s="8" t="str">
        <f>IF(ISBLANK(A265),"",VLOOKUP(A265,DOI_URL!$B$1:$C$74,2,FALSE()))</f>
        <v/>
      </c>
      <c r="C265" s="8"/>
      <c r="D265" s="8"/>
      <c r="I265" s="8"/>
      <c r="J265" s="8"/>
    </row>
    <row r="266">
      <c r="A266" s="8"/>
      <c r="B266" s="8" t="str">
        <f>IF(ISBLANK(A266),"",VLOOKUP(A266,DOI_URL!$B$1:$C$74,2,FALSE()))</f>
        <v/>
      </c>
      <c r="C266" s="8"/>
      <c r="D266" s="8"/>
      <c r="I266" s="8"/>
      <c r="J266" s="8"/>
    </row>
    <row r="267">
      <c r="A267" s="8"/>
      <c r="B267" s="8" t="str">
        <f>IF(ISBLANK(A267),"",VLOOKUP(A267,DOI_URL!$B$1:$C$74,2,FALSE()))</f>
        <v/>
      </c>
      <c r="C267" s="8"/>
      <c r="D267" s="8"/>
      <c r="I267" s="8"/>
      <c r="J267" s="8"/>
    </row>
    <row r="268">
      <c r="A268" s="8"/>
      <c r="B268" s="8" t="str">
        <f>IF(ISBLANK(A268),"",VLOOKUP(A268,DOI_URL!$B$1:$C$74,2,FALSE()))</f>
        <v/>
      </c>
      <c r="C268" s="8"/>
      <c r="D268" s="8"/>
      <c r="I268" s="8"/>
      <c r="J268" s="8"/>
    </row>
    <row r="269">
      <c r="A269" s="8"/>
      <c r="B269" s="8" t="str">
        <f>IF(ISBLANK(A269),"",VLOOKUP(A269,DOI_URL!$B$1:$C$74,2,FALSE()))</f>
        <v/>
      </c>
      <c r="C269" s="8"/>
      <c r="D269" s="8"/>
      <c r="I269" s="8"/>
      <c r="J269" s="8"/>
    </row>
    <row r="270">
      <c r="A270" s="8"/>
      <c r="B270" s="8" t="str">
        <f>IF(ISBLANK(A270),"",VLOOKUP(A270,DOI_URL!$B$1:$C$74,2,FALSE()))</f>
        <v/>
      </c>
      <c r="C270" s="8"/>
      <c r="D270" s="8"/>
      <c r="I270" s="8"/>
      <c r="J270" s="8"/>
    </row>
    <row r="271">
      <c r="A271" s="8"/>
      <c r="B271" s="8" t="str">
        <f>IF(ISBLANK(A271),"",VLOOKUP(A271,DOI_URL!$B$1:$C$74,2,FALSE()))</f>
        <v/>
      </c>
      <c r="C271" s="8"/>
      <c r="D271" s="8"/>
      <c r="I271" s="8"/>
      <c r="J271" s="8"/>
    </row>
    <row r="272">
      <c r="A272" s="8"/>
      <c r="B272" s="8" t="str">
        <f>IF(ISBLANK(A272),"",VLOOKUP(A272,DOI_URL!$B$1:$C$74,2,FALSE()))</f>
        <v/>
      </c>
      <c r="C272" s="8"/>
      <c r="D272" s="8"/>
      <c r="I272" s="8"/>
      <c r="J272" s="8"/>
    </row>
    <row r="273">
      <c r="A273" s="8"/>
      <c r="B273" s="8" t="str">
        <f>IF(ISBLANK(A273),"",VLOOKUP(A273,DOI_URL!$B$1:$C$74,2,FALSE()))</f>
        <v/>
      </c>
      <c r="C273" s="8"/>
      <c r="D273" s="8"/>
      <c r="I273" s="8"/>
      <c r="J273" s="8"/>
    </row>
    <row r="274">
      <c r="A274" s="8"/>
      <c r="B274" s="8" t="str">
        <f>IF(ISBLANK(A274),"",VLOOKUP(A274,DOI_URL!$B$1:$C$74,2,FALSE()))</f>
        <v/>
      </c>
      <c r="C274" s="8"/>
      <c r="D274" s="8"/>
      <c r="I274" s="8"/>
      <c r="J274" s="8"/>
    </row>
    <row r="275">
      <c r="A275" s="8"/>
      <c r="B275" s="8" t="str">
        <f>IF(ISBLANK(A275),"",VLOOKUP(A275,DOI_URL!$B$1:$C$74,2,FALSE()))</f>
        <v/>
      </c>
      <c r="C275" s="8"/>
      <c r="D275" s="8"/>
      <c r="I275" s="8"/>
      <c r="J275" s="8"/>
    </row>
    <row r="276">
      <c r="A276" s="8"/>
      <c r="B276" s="8" t="str">
        <f>IF(ISBLANK(A276),"",VLOOKUP(A276,DOI_URL!$B$1:$C$74,2,FALSE()))</f>
        <v/>
      </c>
      <c r="C276" s="8"/>
      <c r="D276" s="8"/>
      <c r="I276" s="8"/>
      <c r="J276" s="8"/>
    </row>
    <row r="277">
      <c r="A277" s="8"/>
      <c r="B277" s="8" t="str">
        <f>IF(ISBLANK(A277),"",VLOOKUP(A277,DOI_URL!$B$1:$C$74,2,FALSE()))</f>
        <v/>
      </c>
      <c r="C277" s="8"/>
      <c r="D277" s="8"/>
      <c r="I277" s="8"/>
      <c r="J277" s="8"/>
    </row>
    <row r="278">
      <c r="A278" s="8"/>
      <c r="B278" s="8" t="str">
        <f>IF(ISBLANK(A278),"",VLOOKUP(A278,DOI_URL!$B$1:$C$74,2,FALSE()))</f>
        <v/>
      </c>
      <c r="C278" s="8"/>
      <c r="D278" s="8"/>
      <c r="I278" s="8"/>
      <c r="J278" s="8"/>
    </row>
    <row r="279">
      <c r="A279" s="8"/>
      <c r="B279" s="8" t="str">
        <f>IF(ISBLANK(A279),"",VLOOKUP(A279,DOI_URL!$B$1:$C$74,2,FALSE()))</f>
        <v/>
      </c>
      <c r="C279" s="8"/>
      <c r="D279" s="8"/>
      <c r="I279" s="8"/>
      <c r="J279" s="8"/>
    </row>
    <row r="280">
      <c r="A280" s="8"/>
      <c r="B280" s="8" t="str">
        <f>IF(ISBLANK(A280),"",VLOOKUP(A280,DOI_URL!$B$1:$C$74,2,FALSE()))</f>
        <v/>
      </c>
      <c r="C280" s="8"/>
      <c r="D280" s="8"/>
      <c r="I280" s="8"/>
      <c r="J280" s="8"/>
    </row>
    <row r="281">
      <c r="A281" s="8"/>
      <c r="B281" s="8" t="str">
        <f>IF(ISBLANK(A281),"",VLOOKUP(A281,DOI_URL!$B$1:$C$74,2,FALSE()))</f>
        <v/>
      </c>
      <c r="C281" s="8"/>
      <c r="D281" s="8"/>
      <c r="I281" s="8"/>
      <c r="J281" s="8"/>
    </row>
    <row r="282">
      <c r="A282" s="8"/>
      <c r="B282" s="8" t="str">
        <f>IF(ISBLANK(A282),"",VLOOKUP(A282,DOI_URL!$B$1:$C$74,2,FALSE()))</f>
        <v/>
      </c>
      <c r="C282" s="8"/>
      <c r="D282" s="8"/>
      <c r="I282" s="8"/>
      <c r="J282" s="8"/>
    </row>
    <row r="283">
      <c r="A283" s="8"/>
      <c r="B283" s="8" t="str">
        <f>IF(ISBLANK(A283),"",VLOOKUP(A283,DOI_URL!$B$1:$C$74,2,FALSE()))</f>
        <v/>
      </c>
      <c r="C283" s="8"/>
      <c r="D283" s="8"/>
      <c r="I283" s="8"/>
      <c r="J283" s="8"/>
    </row>
    <row r="284">
      <c r="A284" s="8"/>
      <c r="B284" s="8" t="str">
        <f>IF(ISBLANK(A284),"",VLOOKUP(A284,DOI_URL!$B$1:$C$74,2,FALSE()))</f>
        <v/>
      </c>
      <c r="C284" s="8"/>
      <c r="D284" s="8"/>
      <c r="I284" s="8"/>
      <c r="J284" s="8"/>
    </row>
    <row r="285">
      <c r="A285" s="8"/>
      <c r="B285" s="8" t="str">
        <f>IF(ISBLANK(A285),"",VLOOKUP(A285,DOI_URL!$B$1:$C$74,2,FALSE()))</f>
        <v/>
      </c>
      <c r="C285" s="8"/>
      <c r="D285" s="8"/>
      <c r="I285" s="8"/>
      <c r="J285" s="8"/>
    </row>
    <row r="286">
      <c r="A286" s="8"/>
      <c r="B286" s="8" t="str">
        <f>IF(ISBLANK(A286),"",VLOOKUP(A286,DOI_URL!$B$1:$C$74,2,FALSE()))</f>
        <v/>
      </c>
      <c r="C286" s="8"/>
      <c r="D286" s="8"/>
      <c r="I286" s="8"/>
      <c r="J286" s="8"/>
    </row>
    <row r="287">
      <c r="A287" s="8"/>
      <c r="B287" s="8" t="str">
        <f>IF(ISBLANK(A287),"",VLOOKUP(A287,DOI_URL!$B$1:$C$74,2,FALSE()))</f>
        <v/>
      </c>
      <c r="C287" s="8"/>
      <c r="D287" s="8"/>
      <c r="I287" s="8"/>
      <c r="J287" s="8"/>
    </row>
    <row r="288">
      <c r="A288" s="8"/>
      <c r="B288" s="8" t="str">
        <f>IF(ISBLANK(A288),"",VLOOKUP(A288,DOI_URL!$B$1:$C$74,2,FALSE()))</f>
        <v/>
      </c>
      <c r="C288" s="8"/>
      <c r="D288" s="8"/>
      <c r="I288" s="8"/>
      <c r="J288" s="8"/>
    </row>
    <row r="289">
      <c r="A289" s="8"/>
      <c r="B289" s="8" t="str">
        <f>IF(ISBLANK(A289),"",VLOOKUP(A289,DOI_URL!$B$1:$C$74,2,FALSE()))</f>
        <v/>
      </c>
      <c r="C289" s="8"/>
      <c r="D289" s="8"/>
      <c r="I289" s="8"/>
      <c r="J289" s="8"/>
    </row>
    <row r="290">
      <c r="A290" s="8"/>
      <c r="B290" s="8" t="str">
        <f>IF(ISBLANK(A290),"",VLOOKUP(A290,DOI_URL!$B$1:$C$74,2,FALSE()))</f>
        <v/>
      </c>
      <c r="C290" s="8"/>
      <c r="D290" s="8"/>
      <c r="I290" s="8"/>
      <c r="J290" s="8"/>
    </row>
    <row r="291">
      <c r="A291" s="8"/>
      <c r="B291" s="8" t="str">
        <f>IF(ISBLANK(A291),"",VLOOKUP(A291,DOI_URL!$B$1:$C$74,2,FALSE()))</f>
        <v/>
      </c>
      <c r="C291" s="8"/>
      <c r="D291" s="8"/>
      <c r="I291" s="8"/>
      <c r="J291" s="8"/>
    </row>
    <row r="292">
      <c r="A292" s="8"/>
      <c r="B292" s="8" t="str">
        <f>IF(ISBLANK(A292),"",VLOOKUP(A292,DOI_URL!$B$1:$C$74,2,FALSE()))</f>
        <v/>
      </c>
      <c r="C292" s="8"/>
      <c r="D292" s="8"/>
      <c r="I292" s="8"/>
      <c r="J292" s="8"/>
    </row>
    <row r="293">
      <c r="A293" s="8"/>
      <c r="B293" s="8" t="str">
        <f>IF(ISBLANK(A293),"",VLOOKUP(A293,DOI_URL!$B$1:$C$74,2,FALSE()))</f>
        <v/>
      </c>
      <c r="C293" s="8"/>
      <c r="D293" s="8"/>
      <c r="I293" s="8"/>
      <c r="J293" s="8"/>
    </row>
    <row r="294">
      <c r="A294" s="8"/>
      <c r="B294" s="8" t="str">
        <f>IF(ISBLANK(A294),"",VLOOKUP(A294,DOI_URL!$B$1:$C$74,2,FALSE()))</f>
        <v/>
      </c>
      <c r="C294" s="8"/>
      <c r="D294" s="8"/>
      <c r="I294" s="8"/>
      <c r="J294" s="8"/>
    </row>
    <row r="295">
      <c r="A295" s="8"/>
      <c r="B295" s="8" t="str">
        <f>IF(ISBLANK(A295),"",VLOOKUP(A295,DOI_URL!$B$1:$C$74,2,FALSE()))</f>
        <v/>
      </c>
      <c r="C295" s="8"/>
      <c r="D295" s="8"/>
      <c r="I295" s="8"/>
      <c r="J295" s="8"/>
    </row>
    <row r="296">
      <c r="A296" s="8"/>
      <c r="B296" s="8" t="str">
        <f>IF(ISBLANK(A296),"",VLOOKUP(A296,DOI_URL!$B$1:$C$74,2,FALSE()))</f>
        <v/>
      </c>
      <c r="C296" s="8"/>
      <c r="D296" s="8"/>
      <c r="I296" s="8"/>
      <c r="J296" s="8"/>
    </row>
    <row r="297">
      <c r="A297" s="8"/>
      <c r="B297" s="8" t="str">
        <f>IF(ISBLANK(A297),"",VLOOKUP(A297,DOI_URL!$B$1:$C$74,2,FALSE()))</f>
        <v/>
      </c>
      <c r="C297" s="8"/>
      <c r="D297" s="8"/>
      <c r="I297" s="8"/>
      <c r="J297" s="8"/>
    </row>
    <row r="298">
      <c r="A298" s="8"/>
      <c r="B298" s="8" t="str">
        <f>IF(ISBLANK(A298),"",VLOOKUP(A298,DOI_URL!$B$1:$C$74,2,FALSE()))</f>
        <v/>
      </c>
      <c r="C298" s="8"/>
      <c r="D298" s="8"/>
      <c r="I298" s="8"/>
      <c r="J298" s="8"/>
    </row>
    <row r="299">
      <c r="A299" s="8"/>
      <c r="B299" s="8" t="str">
        <f>IF(ISBLANK(A299),"",VLOOKUP(A299,DOI_URL!$B$1:$C$74,2,FALSE()))</f>
        <v/>
      </c>
      <c r="C299" s="8"/>
      <c r="D299" s="8"/>
      <c r="I299" s="8"/>
      <c r="J299" s="8"/>
    </row>
    <row r="300">
      <c r="A300" s="8"/>
      <c r="B300" s="8" t="str">
        <f>IF(ISBLANK(A300),"",VLOOKUP(A300,DOI_URL!$B$1:$C$74,2,FALSE()))</f>
        <v/>
      </c>
      <c r="C300" s="8"/>
      <c r="D300" s="8"/>
      <c r="I300" s="8"/>
      <c r="J300" s="8"/>
    </row>
    <row r="301">
      <c r="A301" s="8"/>
      <c r="B301" s="8" t="str">
        <f>IF(ISBLANK(A301),"",VLOOKUP(A301,DOI_URL!$B$1:$C$74,2,FALSE()))</f>
        <v/>
      </c>
      <c r="C301" s="8"/>
      <c r="D301" s="8"/>
      <c r="I301" s="8"/>
      <c r="J301" s="8"/>
    </row>
    <row r="302">
      <c r="A302" s="8"/>
      <c r="B302" s="8" t="str">
        <f>IF(ISBLANK(A302),"",VLOOKUP(A302,DOI_URL!$B$1:$C$74,2,FALSE()))</f>
        <v/>
      </c>
      <c r="C302" s="8"/>
      <c r="D302" s="8"/>
      <c r="I302" s="8"/>
      <c r="J302" s="8"/>
    </row>
    <row r="303">
      <c r="A303" s="8"/>
      <c r="B303" s="8" t="str">
        <f>IF(ISBLANK(A303),"",VLOOKUP(A303,DOI_URL!$B$1:$C$74,2,FALSE()))</f>
        <v/>
      </c>
      <c r="C303" s="8"/>
      <c r="D303" s="8"/>
      <c r="I303" s="8"/>
      <c r="J303" s="8"/>
    </row>
    <row r="304">
      <c r="A304" s="8"/>
      <c r="B304" s="8" t="str">
        <f>IF(ISBLANK(A304),"",VLOOKUP(A304,DOI_URL!$B$1:$C$74,2,FALSE()))</f>
        <v/>
      </c>
      <c r="C304" s="8"/>
      <c r="D304" s="8"/>
      <c r="I304" s="8"/>
      <c r="J304" s="8"/>
    </row>
    <row r="305">
      <c r="A305" s="8"/>
      <c r="B305" s="8" t="str">
        <f>IF(ISBLANK(A305),"",VLOOKUP(A305,DOI_URL!$B$1:$C$74,2,FALSE()))</f>
        <v/>
      </c>
      <c r="C305" s="8"/>
      <c r="D305" s="8"/>
      <c r="I305" s="8"/>
      <c r="J305" s="8"/>
    </row>
    <row r="306">
      <c r="A306" s="8"/>
      <c r="B306" s="8" t="str">
        <f>IF(ISBLANK(A306),"",VLOOKUP(A306,DOI_URL!$B$1:$C$74,2,FALSE()))</f>
        <v/>
      </c>
      <c r="C306" s="8"/>
      <c r="D306" s="8"/>
      <c r="I306" s="8"/>
      <c r="J306" s="8"/>
    </row>
    <row r="307">
      <c r="A307" s="8"/>
      <c r="B307" s="8" t="str">
        <f>IF(ISBLANK(A307),"",VLOOKUP(A307,DOI_URL!$B$1:$C$74,2,FALSE()))</f>
        <v/>
      </c>
      <c r="C307" s="8"/>
      <c r="D307" s="8"/>
      <c r="I307" s="8"/>
      <c r="J307" s="8"/>
    </row>
    <row r="308">
      <c r="A308" s="8"/>
      <c r="B308" s="8" t="str">
        <f>IF(ISBLANK(A308),"",VLOOKUP(A308,DOI_URL!$B$1:$C$74,2,FALSE()))</f>
        <v/>
      </c>
      <c r="C308" s="8"/>
      <c r="D308" s="8"/>
      <c r="I308" s="8"/>
      <c r="J308" s="8"/>
    </row>
    <row r="309">
      <c r="A309" s="8"/>
      <c r="B309" s="8" t="str">
        <f>IF(ISBLANK(A309),"",VLOOKUP(A309,DOI_URL!$B$1:$C$74,2,FALSE()))</f>
        <v/>
      </c>
      <c r="C309" s="8"/>
      <c r="D309" s="8"/>
      <c r="I309" s="8"/>
      <c r="J309" s="8"/>
    </row>
    <row r="310">
      <c r="A310" s="8"/>
      <c r="B310" s="8" t="str">
        <f>IF(ISBLANK(A310),"",VLOOKUP(A310,DOI_URL!$B$1:$C$74,2,FALSE()))</f>
        <v/>
      </c>
      <c r="C310" s="8"/>
      <c r="D310" s="8"/>
      <c r="I310" s="8"/>
      <c r="J310" s="8"/>
    </row>
    <row r="311">
      <c r="A311" s="8"/>
      <c r="B311" s="8" t="str">
        <f>IF(ISBLANK(A311),"",VLOOKUP(A311,DOI_URL!$B$1:$C$74,2,FALSE()))</f>
        <v/>
      </c>
      <c r="C311" s="8"/>
      <c r="D311" s="8"/>
      <c r="I311" s="8"/>
      <c r="J311" s="8"/>
    </row>
    <row r="312">
      <c r="A312" s="8"/>
      <c r="B312" s="8" t="str">
        <f>IF(ISBLANK(A312),"",VLOOKUP(A312,DOI_URL!$B$1:$C$74,2,FALSE()))</f>
        <v/>
      </c>
      <c r="C312" s="8"/>
      <c r="D312" s="8"/>
      <c r="I312" s="8"/>
      <c r="J312" s="8"/>
    </row>
    <row r="313">
      <c r="A313" s="8"/>
      <c r="B313" s="8" t="str">
        <f>IF(ISBLANK(A313),"",VLOOKUP(A313,DOI_URL!$B$1:$C$74,2,FALSE()))</f>
        <v/>
      </c>
      <c r="C313" s="8"/>
      <c r="D313" s="8"/>
      <c r="I313" s="8"/>
      <c r="J313" s="8"/>
    </row>
    <row r="314">
      <c r="A314" s="8"/>
      <c r="B314" s="8" t="str">
        <f>IF(ISBLANK(A314),"",VLOOKUP(A314,DOI_URL!$B$1:$C$74,2,FALSE()))</f>
        <v/>
      </c>
      <c r="C314" s="8"/>
      <c r="D314" s="8"/>
      <c r="I314" s="8"/>
      <c r="J314" s="8"/>
    </row>
    <row r="315">
      <c r="A315" s="8"/>
      <c r="B315" s="8" t="str">
        <f>IF(ISBLANK(A315),"",VLOOKUP(A315,DOI_URL!$B$1:$C$74,2,FALSE()))</f>
        <v/>
      </c>
      <c r="C315" s="8"/>
      <c r="D315" s="8"/>
      <c r="I315" s="8"/>
      <c r="J315" s="8"/>
    </row>
    <row r="316">
      <c r="A316" s="8"/>
      <c r="B316" s="8" t="str">
        <f>IF(ISBLANK(A316),"",VLOOKUP(A316,DOI_URL!$B$1:$C$74,2,FALSE()))</f>
        <v/>
      </c>
      <c r="C316" s="8"/>
      <c r="D316" s="8"/>
      <c r="I316" s="8"/>
      <c r="J316" s="8"/>
    </row>
    <row r="317">
      <c r="A317" s="8"/>
      <c r="B317" s="8" t="str">
        <f>IF(ISBLANK(A317),"",VLOOKUP(A317,DOI_URL!$B$1:$C$74,2,FALSE()))</f>
        <v/>
      </c>
      <c r="C317" s="8"/>
      <c r="D317" s="8"/>
      <c r="I317" s="8"/>
      <c r="J317" s="8"/>
    </row>
    <row r="318">
      <c r="A318" s="8"/>
      <c r="B318" s="8" t="str">
        <f>IF(ISBLANK(A318),"",VLOOKUP(A318,DOI_URL!$B$1:$C$74,2,FALSE()))</f>
        <v/>
      </c>
      <c r="C318" s="8"/>
      <c r="D318" s="8"/>
      <c r="I318" s="8"/>
      <c r="J318" s="8"/>
    </row>
    <row r="319">
      <c r="A319" s="8"/>
      <c r="B319" s="8" t="str">
        <f>IF(ISBLANK(A319),"",VLOOKUP(A319,DOI_URL!$B$1:$C$74,2,FALSE()))</f>
        <v/>
      </c>
      <c r="C319" s="8"/>
      <c r="D319" s="8"/>
      <c r="I319" s="8"/>
      <c r="J319" s="8"/>
    </row>
    <row r="320">
      <c r="A320" s="8"/>
      <c r="B320" s="8" t="str">
        <f>IF(ISBLANK(A320),"",VLOOKUP(A320,DOI_URL!$B$1:$C$74,2,FALSE()))</f>
        <v/>
      </c>
      <c r="C320" s="8"/>
      <c r="D320" s="8"/>
      <c r="I320" s="8"/>
      <c r="J320" s="8"/>
    </row>
    <row r="321">
      <c r="A321" s="8"/>
      <c r="B321" s="8" t="str">
        <f>IF(ISBLANK(A321),"",VLOOKUP(A321,DOI_URL!$B$1:$C$74,2,FALSE()))</f>
        <v/>
      </c>
      <c r="C321" s="8"/>
      <c r="D321" s="8"/>
      <c r="I321" s="8"/>
      <c r="J321" s="8"/>
    </row>
    <row r="322">
      <c r="A322" s="8"/>
      <c r="B322" s="8" t="str">
        <f>IF(ISBLANK(A322),"",VLOOKUP(A322,DOI_URL!$B$1:$C$74,2,FALSE()))</f>
        <v/>
      </c>
      <c r="C322" s="8"/>
      <c r="D322" s="8"/>
      <c r="I322" s="8"/>
      <c r="J322" s="8"/>
    </row>
    <row r="323">
      <c r="A323" s="8"/>
      <c r="B323" s="8" t="str">
        <f>IF(ISBLANK(A323),"",VLOOKUP(A323,DOI_URL!$B$1:$C$74,2,FALSE()))</f>
        <v/>
      </c>
      <c r="C323" s="8"/>
      <c r="D323" s="8"/>
      <c r="I323" s="8"/>
      <c r="J323" s="8"/>
    </row>
    <row r="324">
      <c r="A324" s="8"/>
      <c r="B324" s="8" t="str">
        <f>IF(ISBLANK(A324),"",VLOOKUP(A324,DOI_URL!$B$1:$C$74,2,FALSE()))</f>
        <v/>
      </c>
      <c r="C324" s="8"/>
      <c r="D324" s="8"/>
      <c r="I324" s="8"/>
      <c r="J324" s="8"/>
    </row>
    <row r="325">
      <c r="A325" s="8"/>
      <c r="B325" s="8" t="str">
        <f>IF(ISBLANK(A325),"",VLOOKUP(A325,DOI_URL!$B$1:$C$74,2,FALSE()))</f>
        <v/>
      </c>
      <c r="C325" s="8"/>
      <c r="D325" s="8"/>
      <c r="I325" s="8"/>
      <c r="J325" s="8"/>
    </row>
    <row r="326">
      <c r="A326" s="8"/>
      <c r="B326" s="8" t="str">
        <f>IF(ISBLANK(A326),"",VLOOKUP(A326,DOI_URL!$B$1:$C$74,2,FALSE()))</f>
        <v/>
      </c>
      <c r="C326" s="8"/>
      <c r="D326" s="8"/>
      <c r="I326" s="8"/>
      <c r="J326" s="8"/>
    </row>
    <row r="327">
      <c r="A327" s="8"/>
      <c r="B327" s="8" t="str">
        <f>IF(ISBLANK(A327),"",VLOOKUP(A327,DOI_URL!$B$1:$C$74,2,FALSE()))</f>
        <v/>
      </c>
      <c r="C327" s="8"/>
      <c r="D327" s="8"/>
      <c r="I327" s="8"/>
      <c r="J327" s="8"/>
    </row>
    <row r="328">
      <c r="A328" s="8"/>
      <c r="B328" s="8" t="str">
        <f>IF(ISBLANK(A328),"",VLOOKUP(A328,DOI_URL!$B$1:$C$74,2,FALSE()))</f>
        <v/>
      </c>
      <c r="C328" s="8"/>
      <c r="D328" s="8"/>
      <c r="I328" s="8"/>
      <c r="J328" s="8"/>
    </row>
    <row r="329">
      <c r="A329" s="8"/>
      <c r="B329" s="8" t="str">
        <f>IF(ISBLANK(A329),"",VLOOKUP(A329,DOI_URL!$B$1:$C$74,2,FALSE()))</f>
        <v/>
      </c>
      <c r="C329" s="8"/>
      <c r="D329" s="8"/>
      <c r="I329" s="8"/>
      <c r="J329" s="8"/>
    </row>
    <row r="330">
      <c r="A330" s="8"/>
      <c r="B330" s="8" t="str">
        <f>IF(ISBLANK(A330),"",VLOOKUP(A330,DOI_URL!$B$1:$C$74,2,FALSE()))</f>
        <v/>
      </c>
      <c r="C330" s="8"/>
      <c r="D330" s="8"/>
      <c r="I330" s="8"/>
      <c r="J330" s="8"/>
    </row>
    <row r="331">
      <c r="A331" s="8"/>
      <c r="B331" s="8" t="str">
        <f>IF(ISBLANK(A331),"",VLOOKUP(A331,DOI_URL!$B$1:$C$74,2,FALSE()))</f>
        <v/>
      </c>
      <c r="C331" s="8"/>
      <c r="D331" s="8"/>
      <c r="I331" s="8"/>
      <c r="J331" s="8"/>
    </row>
    <row r="332">
      <c r="A332" s="8"/>
      <c r="B332" s="8" t="str">
        <f>IF(ISBLANK(A332),"",VLOOKUP(A332,DOI_URL!$B$1:$C$74,2,FALSE()))</f>
        <v/>
      </c>
      <c r="C332" s="8"/>
      <c r="D332" s="8"/>
      <c r="I332" s="8"/>
      <c r="J332" s="8"/>
    </row>
    <row r="333">
      <c r="A333" s="8"/>
      <c r="B333" s="8" t="str">
        <f>IF(ISBLANK(A333),"",VLOOKUP(A333,DOI_URL!$B$1:$C$74,2,FALSE()))</f>
        <v/>
      </c>
      <c r="C333" s="8"/>
      <c r="D333" s="8"/>
      <c r="I333" s="8"/>
      <c r="J333" s="8"/>
    </row>
    <row r="334">
      <c r="A334" s="8"/>
      <c r="B334" s="8" t="str">
        <f>IF(ISBLANK(A334),"",VLOOKUP(A334,DOI_URL!$B$1:$C$74,2,FALSE()))</f>
        <v/>
      </c>
      <c r="C334" s="8"/>
      <c r="D334" s="8"/>
      <c r="I334" s="8"/>
      <c r="J334" s="8"/>
    </row>
    <row r="335">
      <c r="A335" s="8"/>
      <c r="B335" s="8" t="str">
        <f>IF(ISBLANK(A335),"",VLOOKUP(A335,DOI_URL!$B$1:$C$74,2,FALSE()))</f>
        <v/>
      </c>
      <c r="C335" s="8"/>
      <c r="D335" s="8"/>
      <c r="I335" s="8"/>
      <c r="J335" s="8"/>
    </row>
    <row r="336">
      <c r="A336" s="8"/>
      <c r="B336" s="8" t="str">
        <f>IF(ISBLANK(A336),"",VLOOKUP(A336,DOI_URL!$B$1:$C$74,2,FALSE()))</f>
        <v/>
      </c>
      <c r="C336" s="8"/>
      <c r="D336" s="8"/>
      <c r="I336" s="8"/>
      <c r="J336" s="8"/>
    </row>
    <row r="337">
      <c r="A337" s="8"/>
      <c r="B337" s="8" t="str">
        <f>IF(ISBLANK(A337),"",VLOOKUP(A337,DOI_URL!$B$1:$C$74,2,FALSE()))</f>
        <v/>
      </c>
      <c r="C337" s="8"/>
      <c r="D337" s="8"/>
      <c r="I337" s="8"/>
      <c r="J337" s="8"/>
    </row>
    <row r="338">
      <c r="A338" s="8"/>
      <c r="B338" s="8" t="str">
        <f>IF(ISBLANK(A338),"",VLOOKUP(A338,DOI_URL!$B$1:$C$74,2,FALSE()))</f>
        <v/>
      </c>
      <c r="C338" s="8"/>
      <c r="D338" s="8"/>
      <c r="I338" s="8"/>
      <c r="J338" s="8"/>
    </row>
    <row r="339">
      <c r="A339" s="8"/>
      <c r="B339" s="8" t="str">
        <f>IF(ISBLANK(A339),"",VLOOKUP(A339,DOI_URL!$B$1:$C$74,2,FALSE()))</f>
        <v/>
      </c>
      <c r="C339" s="8"/>
      <c r="D339" s="8"/>
      <c r="I339" s="8"/>
      <c r="J339" s="8"/>
    </row>
    <row r="340">
      <c r="A340" s="8"/>
      <c r="B340" s="8" t="str">
        <f>IF(ISBLANK(A340),"",VLOOKUP(A340,DOI_URL!$B$1:$C$74,2,FALSE()))</f>
        <v/>
      </c>
      <c r="C340" s="8"/>
      <c r="D340" s="8"/>
      <c r="I340" s="8"/>
      <c r="J340" s="8"/>
    </row>
    <row r="341">
      <c r="A341" s="8"/>
      <c r="B341" s="8" t="str">
        <f>IF(ISBLANK(A341),"",VLOOKUP(A341,DOI_URL!$B$1:$C$74,2,FALSE()))</f>
        <v/>
      </c>
      <c r="C341" s="8"/>
      <c r="D341" s="8"/>
      <c r="I341" s="8"/>
      <c r="J341" s="8"/>
    </row>
    <row r="342">
      <c r="A342" s="8"/>
      <c r="B342" s="8" t="str">
        <f>IF(ISBLANK(A342),"",VLOOKUP(A342,DOI_URL!$B$1:$C$74,2,FALSE()))</f>
        <v/>
      </c>
      <c r="C342" s="8"/>
      <c r="D342" s="8"/>
      <c r="I342" s="8"/>
      <c r="J342" s="8"/>
    </row>
    <row r="343">
      <c r="A343" s="8"/>
      <c r="B343" s="8" t="str">
        <f>IF(ISBLANK(A343),"",VLOOKUP(A343,DOI_URL!$B$1:$C$74,2,FALSE()))</f>
        <v/>
      </c>
      <c r="C343" s="8"/>
      <c r="D343" s="8"/>
      <c r="I343" s="8"/>
      <c r="J343" s="8"/>
    </row>
    <row r="344">
      <c r="A344" s="8"/>
      <c r="B344" s="8" t="str">
        <f>IF(ISBLANK(A344),"",VLOOKUP(A344,DOI_URL!$B$1:$C$74,2,FALSE()))</f>
        <v/>
      </c>
      <c r="C344" s="8"/>
      <c r="D344" s="8"/>
      <c r="I344" s="8"/>
      <c r="J344" s="8"/>
    </row>
    <row r="345">
      <c r="A345" s="8"/>
      <c r="B345" s="8" t="str">
        <f>IF(ISBLANK(A345),"",VLOOKUP(A345,DOI_URL!$B$1:$C$74,2,FALSE()))</f>
        <v/>
      </c>
      <c r="C345" s="8"/>
      <c r="D345" s="8"/>
      <c r="I345" s="8"/>
      <c r="J345" s="8"/>
    </row>
    <row r="346">
      <c r="A346" s="8"/>
      <c r="B346" s="8" t="str">
        <f>IF(ISBLANK(A346),"",VLOOKUP(A346,DOI_URL!$B$1:$C$74,2,FALSE()))</f>
        <v/>
      </c>
      <c r="C346" s="8"/>
      <c r="D346" s="8"/>
      <c r="I346" s="8"/>
      <c r="J346" s="8"/>
    </row>
    <row r="347">
      <c r="A347" s="8"/>
      <c r="B347" s="8" t="str">
        <f>IF(ISBLANK(A347),"",VLOOKUP(A347,DOI_URL!$B$1:$C$74,2,FALSE()))</f>
        <v/>
      </c>
      <c r="C347" s="8"/>
      <c r="D347" s="8"/>
      <c r="I347" s="8"/>
      <c r="J347" s="8"/>
    </row>
    <row r="348">
      <c r="A348" s="8"/>
      <c r="B348" s="8" t="str">
        <f>IF(ISBLANK(A348),"",VLOOKUP(A348,DOI_URL!$B$1:$C$74,2,FALSE()))</f>
        <v/>
      </c>
      <c r="C348" s="8"/>
      <c r="D348" s="8"/>
      <c r="I348" s="8"/>
      <c r="J348" s="8"/>
    </row>
    <row r="349">
      <c r="A349" s="8"/>
      <c r="B349" s="8" t="str">
        <f>IF(ISBLANK(A349),"",VLOOKUP(A349,DOI_URL!$B$1:$C$74,2,FALSE()))</f>
        <v/>
      </c>
      <c r="C349" s="8"/>
      <c r="D349" s="8"/>
      <c r="I349" s="8"/>
      <c r="J349" s="8"/>
    </row>
    <row r="350">
      <c r="A350" s="8"/>
      <c r="B350" s="8" t="str">
        <f>IF(ISBLANK(A350),"",VLOOKUP(A350,DOI_URL!$B$1:$C$74,2,FALSE()))</f>
        <v/>
      </c>
      <c r="C350" s="8"/>
      <c r="D350" s="8"/>
      <c r="I350" s="8"/>
      <c r="J350" s="8"/>
    </row>
    <row r="351">
      <c r="A351" s="8"/>
      <c r="B351" s="8" t="str">
        <f>IF(ISBLANK(A351),"",VLOOKUP(A351,DOI_URL!$B$1:$C$74,2,FALSE()))</f>
        <v/>
      </c>
      <c r="C351" s="8"/>
      <c r="D351" s="8"/>
      <c r="I351" s="8"/>
      <c r="J351" s="8"/>
    </row>
    <row r="352">
      <c r="A352" s="8"/>
      <c r="B352" s="8" t="str">
        <f>IF(ISBLANK(A352),"",VLOOKUP(A352,DOI_URL!$B$1:$C$74,2,FALSE()))</f>
        <v/>
      </c>
      <c r="C352" s="8"/>
      <c r="D352" s="8"/>
      <c r="I352" s="8"/>
      <c r="J352" s="8"/>
    </row>
    <row r="353">
      <c r="A353" s="8"/>
      <c r="B353" s="8" t="str">
        <f>IF(ISBLANK(A353),"",VLOOKUP(A353,DOI_URL!$B$1:$C$74,2,FALSE()))</f>
        <v/>
      </c>
      <c r="C353" s="8"/>
      <c r="D353" s="8"/>
      <c r="I353" s="8"/>
      <c r="J353" s="8"/>
    </row>
    <row r="354">
      <c r="A354" s="8"/>
      <c r="B354" s="8" t="str">
        <f>IF(ISBLANK(A354),"",VLOOKUP(A354,DOI_URL!$B$1:$C$74,2,FALSE()))</f>
        <v/>
      </c>
      <c r="C354" s="8"/>
      <c r="D354" s="8"/>
      <c r="I354" s="8"/>
      <c r="J354" s="8"/>
    </row>
    <row r="355">
      <c r="A355" s="8"/>
      <c r="B355" s="8" t="str">
        <f>IF(ISBLANK(A355),"",VLOOKUP(A355,DOI_URL!$B$1:$C$74,2,FALSE()))</f>
        <v/>
      </c>
      <c r="C355" s="8"/>
      <c r="D355" s="8"/>
      <c r="I355" s="8"/>
      <c r="J355" s="8"/>
    </row>
    <row r="356">
      <c r="A356" s="8"/>
      <c r="B356" s="8" t="str">
        <f>IF(ISBLANK(A356),"",VLOOKUP(A356,DOI_URL!$B$1:$C$74,2,FALSE()))</f>
        <v/>
      </c>
      <c r="C356" s="8"/>
      <c r="D356" s="8"/>
      <c r="I356" s="8"/>
      <c r="J356" s="8"/>
    </row>
    <row r="357">
      <c r="A357" s="8"/>
      <c r="B357" s="8" t="str">
        <f>IF(ISBLANK(A357),"",VLOOKUP(A357,DOI_URL!$B$1:$C$74,2,FALSE()))</f>
        <v/>
      </c>
      <c r="C357" s="8"/>
      <c r="D357" s="8"/>
      <c r="I357" s="8"/>
      <c r="J357" s="8"/>
    </row>
    <row r="358">
      <c r="A358" s="8"/>
      <c r="B358" s="8" t="str">
        <f>IF(ISBLANK(A358),"",VLOOKUP(A358,DOI_URL!$B$1:$C$74,2,FALSE()))</f>
        <v/>
      </c>
      <c r="C358" s="8"/>
      <c r="D358" s="8"/>
      <c r="I358" s="8"/>
      <c r="J358" s="8"/>
    </row>
    <row r="359">
      <c r="A359" s="8"/>
      <c r="B359" s="8" t="str">
        <f>IF(ISBLANK(A359),"",VLOOKUP(A359,DOI_URL!$B$1:$C$74,2,FALSE()))</f>
        <v/>
      </c>
      <c r="C359" s="8"/>
      <c r="D359" s="8"/>
      <c r="I359" s="8"/>
      <c r="J359" s="8"/>
    </row>
    <row r="360">
      <c r="A360" s="8"/>
      <c r="B360" s="8" t="str">
        <f>IF(ISBLANK(A360),"",VLOOKUP(A360,DOI_URL!$B$1:$C$74,2,FALSE()))</f>
        <v/>
      </c>
      <c r="C360" s="8"/>
      <c r="D360" s="8"/>
      <c r="I360" s="8"/>
      <c r="J360" s="8"/>
    </row>
    <row r="361">
      <c r="A361" s="8"/>
      <c r="B361" s="8" t="str">
        <f>IF(ISBLANK(A361),"",VLOOKUP(A361,DOI_URL!$B$1:$C$74,2,FALSE()))</f>
        <v/>
      </c>
      <c r="C361" s="8"/>
      <c r="D361" s="8"/>
      <c r="I361" s="8"/>
      <c r="J361" s="8"/>
    </row>
    <row r="362">
      <c r="A362" s="8"/>
      <c r="B362" s="8" t="str">
        <f>IF(ISBLANK(A362),"",VLOOKUP(A362,DOI_URL!$B$1:$C$74,2,FALSE()))</f>
        <v/>
      </c>
      <c r="C362" s="8"/>
      <c r="D362" s="8"/>
      <c r="I362" s="8"/>
      <c r="J362" s="8"/>
    </row>
    <row r="363">
      <c r="A363" s="8"/>
      <c r="B363" s="8" t="str">
        <f>IF(ISBLANK(A363),"",VLOOKUP(A363,DOI_URL!$B$1:$C$74,2,FALSE()))</f>
        <v/>
      </c>
      <c r="C363" s="8"/>
      <c r="D363" s="8"/>
      <c r="I363" s="8"/>
      <c r="J363" s="8"/>
    </row>
    <row r="364">
      <c r="A364" s="8"/>
      <c r="B364" s="8" t="str">
        <f>IF(ISBLANK(A364),"",VLOOKUP(A364,DOI_URL!$B$1:$C$74,2,FALSE()))</f>
        <v/>
      </c>
      <c r="C364" s="8"/>
      <c r="D364" s="8"/>
      <c r="I364" s="8"/>
      <c r="J364" s="8"/>
    </row>
    <row r="365">
      <c r="A365" s="8"/>
      <c r="B365" s="8" t="str">
        <f>IF(ISBLANK(A365),"",VLOOKUP(A365,DOI_URL!$B$1:$C$74,2,FALSE()))</f>
        <v/>
      </c>
      <c r="C365" s="8"/>
      <c r="D365" s="8"/>
      <c r="I365" s="8"/>
      <c r="J365" s="8"/>
    </row>
    <row r="366">
      <c r="A366" s="8"/>
      <c r="B366" s="8" t="str">
        <f>IF(ISBLANK(A366),"",VLOOKUP(A366,DOI_URL!$B$1:$C$74,2,FALSE()))</f>
        <v/>
      </c>
      <c r="C366" s="8"/>
      <c r="D366" s="8"/>
      <c r="I366" s="8"/>
      <c r="J366" s="8"/>
    </row>
    <row r="367">
      <c r="A367" s="8"/>
      <c r="B367" s="8" t="str">
        <f>IF(ISBLANK(A367),"",VLOOKUP(A367,DOI_URL!$B$1:$C$74,2,FALSE()))</f>
        <v/>
      </c>
      <c r="C367" s="8"/>
      <c r="D367" s="8"/>
      <c r="I367" s="8"/>
      <c r="J367" s="8"/>
    </row>
    <row r="368">
      <c r="A368" s="8"/>
      <c r="B368" s="8" t="str">
        <f>IF(ISBLANK(A368),"",VLOOKUP(A368,DOI_URL!$B$1:$C$74,2,FALSE()))</f>
        <v/>
      </c>
      <c r="C368" s="8"/>
      <c r="D368" s="8"/>
      <c r="I368" s="8"/>
      <c r="J368" s="8"/>
    </row>
    <row r="369">
      <c r="A369" s="8"/>
      <c r="B369" s="8" t="str">
        <f>IF(ISBLANK(A369),"",VLOOKUP(A369,DOI_URL!$B$1:$C$74,2,FALSE()))</f>
        <v/>
      </c>
      <c r="C369" s="8"/>
      <c r="D369" s="8"/>
      <c r="I369" s="8"/>
      <c r="J369" s="8"/>
    </row>
    <row r="370">
      <c r="A370" s="8"/>
      <c r="B370" s="8" t="str">
        <f>IF(ISBLANK(A370),"",VLOOKUP(A370,DOI_URL!$B$1:$C$74,2,FALSE()))</f>
        <v/>
      </c>
      <c r="C370" s="8"/>
      <c r="D370" s="8"/>
      <c r="I370" s="8"/>
      <c r="J370" s="8"/>
    </row>
    <row r="371">
      <c r="A371" s="8"/>
      <c r="B371" s="8" t="str">
        <f>IF(ISBLANK(A371),"",VLOOKUP(A371,DOI_URL!$B$1:$C$74,2,FALSE()))</f>
        <v/>
      </c>
      <c r="C371" s="8"/>
      <c r="D371" s="8"/>
      <c r="I371" s="8"/>
      <c r="J371" s="8"/>
    </row>
    <row r="372">
      <c r="A372" s="8"/>
      <c r="B372" s="8" t="str">
        <f>IF(ISBLANK(A372),"",VLOOKUP(A372,DOI_URL!$B$1:$C$74,2,FALSE()))</f>
        <v/>
      </c>
      <c r="C372" s="8"/>
      <c r="D372" s="8"/>
      <c r="I372" s="8"/>
      <c r="J372" s="8"/>
    </row>
    <row r="373">
      <c r="A373" s="8"/>
      <c r="B373" s="8" t="str">
        <f>IF(ISBLANK(A373),"",VLOOKUP(A373,DOI_URL!$B$1:$C$74,2,FALSE()))</f>
        <v/>
      </c>
      <c r="C373" s="8"/>
      <c r="D373" s="8"/>
      <c r="I373" s="8"/>
      <c r="J373" s="8"/>
    </row>
    <row r="374">
      <c r="A374" s="8"/>
      <c r="B374" s="8" t="str">
        <f>IF(ISBLANK(A374),"",VLOOKUP(A374,DOI_URL!$B$1:$C$74,2,FALSE()))</f>
        <v/>
      </c>
      <c r="C374" s="8"/>
      <c r="D374" s="8"/>
      <c r="I374" s="8"/>
      <c r="J374" s="8"/>
    </row>
    <row r="375">
      <c r="A375" s="8"/>
      <c r="B375" s="8" t="str">
        <f>IF(ISBLANK(A375),"",VLOOKUP(A375,DOI_URL!$B$1:$C$74,2,FALSE()))</f>
        <v/>
      </c>
      <c r="C375" s="8"/>
      <c r="D375" s="8"/>
      <c r="I375" s="8"/>
      <c r="J375" s="8"/>
    </row>
    <row r="376">
      <c r="A376" s="8"/>
      <c r="B376" s="8" t="str">
        <f>IF(ISBLANK(A376),"",VLOOKUP(A376,DOI_URL!$B$1:$C$74,2,FALSE()))</f>
        <v/>
      </c>
      <c r="C376" s="8"/>
      <c r="D376" s="8"/>
      <c r="I376" s="8"/>
      <c r="J376" s="8"/>
    </row>
    <row r="377">
      <c r="A377" s="8"/>
      <c r="B377" s="8" t="str">
        <f>IF(ISBLANK(A377),"",VLOOKUP(A377,DOI_URL!$B$1:$C$74,2,FALSE()))</f>
        <v/>
      </c>
      <c r="C377" s="8"/>
      <c r="D377" s="8"/>
      <c r="I377" s="8"/>
      <c r="J377" s="8"/>
    </row>
    <row r="378">
      <c r="A378" s="8"/>
      <c r="B378" s="8" t="str">
        <f>IF(ISBLANK(A378),"",VLOOKUP(A378,DOI_URL!$B$1:$C$74,2,FALSE()))</f>
        <v/>
      </c>
      <c r="C378" s="8"/>
      <c r="D378" s="8"/>
      <c r="I378" s="8"/>
      <c r="J378" s="8"/>
    </row>
    <row r="379">
      <c r="A379" s="8"/>
      <c r="B379" s="8" t="str">
        <f>IF(ISBLANK(A379),"",VLOOKUP(A379,DOI_URL!$B$1:$C$74,2,FALSE()))</f>
        <v/>
      </c>
      <c r="C379" s="8"/>
      <c r="D379" s="8"/>
      <c r="I379" s="8"/>
      <c r="J379" s="8"/>
    </row>
    <row r="380">
      <c r="A380" s="8"/>
      <c r="B380" s="8" t="str">
        <f>IF(ISBLANK(A380),"",VLOOKUP(A380,DOI_URL!$B$1:$C$74,2,FALSE()))</f>
        <v/>
      </c>
      <c r="C380" s="8"/>
      <c r="D380" s="8"/>
      <c r="I380" s="8"/>
      <c r="J380" s="8"/>
    </row>
    <row r="381">
      <c r="A381" s="8"/>
      <c r="B381" s="8" t="str">
        <f>IF(ISBLANK(A381),"",VLOOKUP(A381,DOI_URL!$B$1:$C$74,2,FALSE()))</f>
        <v/>
      </c>
      <c r="C381" s="8"/>
      <c r="D381" s="8"/>
      <c r="I381" s="8"/>
      <c r="J381" s="8"/>
    </row>
    <row r="382">
      <c r="A382" s="8"/>
      <c r="B382" s="8" t="str">
        <f>IF(ISBLANK(A382),"",VLOOKUP(A382,DOI_URL!$B$1:$C$74,2,FALSE()))</f>
        <v/>
      </c>
      <c r="C382" s="8"/>
      <c r="D382" s="8"/>
      <c r="I382" s="8"/>
      <c r="J382" s="8"/>
    </row>
    <row r="383">
      <c r="A383" s="8"/>
      <c r="B383" s="8" t="str">
        <f>IF(ISBLANK(A383),"",VLOOKUP(A383,DOI_URL!$B$1:$C$74,2,FALSE()))</f>
        <v/>
      </c>
      <c r="C383" s="8"/>
      <c r="D383" s="8"/>
      <c r="I383" s="8"/>
      <c r="J383" s="8"/>
    </row>
    <row r="384">
      <c r="A384" s="8"/>
      <c r="B384" s="8" t="str">
        <f>IF(ISBLANK(A384),"",VLOOKUP(A384,DOI_URL!$B$1:$C$74,2,FALSE()))</f>
        <v/>
      </c>
      <c r="C384" s="8"/>
      <c r="D384" s="8"/>
      <c r="I384" s="8"/>
      <c r="J384" s="8"/>
    </row>
    <row r="385">
      <c r="A385" s="8"/>
      <c r="B385" s="8" t="str">
        <f>IF(ISBLANK(A385),"",VLOOKUP(A385,DOI_URL!$B$1:$C$74,2,FALSE()))</f>
        <v/>
      </c>
      <c r="C385" s="8"/>
      <c r="D385" s="8"/>
      <c r="I385" s="8"/>
      <c r="J385" s="8"/>
    </row>
    <row r="386">
      <c r="A386" s="8"/>
      <c r="B386" s="8" t="str">
        <f>IF(ISBLANK(A386),"",VLOOKUP(A386,DOI_URL!$B$1:$C$74,2,FALSE()))</f>
        <v/>
      </c>
      <c r="C386" s="8"/>
      <c r="D386" s="8"/>
      <c r="I386" s="8"/>
      <c r="J386" s="8"/>
    </row>
    <row r="387">
      <c r="A387" s="8"/>
      <c r="B387" s="8" t="str">
        <f>IF(ISBLANK(A387),"",VLOOKUP(A387,DOI_URL!$B$1:$C$74,2,FALSE()))</f>
        <v/>
      </c>
      <c r="C387" s="8"/>
      <c r="D387" s="8"/>
      <c r="I387" s="8"/>
      <c r="J387" s="8"/>
    </row>
    <row r="388">
      <c r="A388" s="8"/>
      <c r="B388" s="8" t="str">
        <f>IF(ISBLANK(A388),"",VLOOKUP(A388,DOI_URL!$B$1:$C$74,2,FALSE()))</f>
        <v/>
      </c>
      <c r="C388" s="8"/>
      <c r="D388" s="8"/>
      <c r="I388" s="8"/>
      <c r="J388" s="8"/>
    </row>
    <row r="389">
      <c r="A389" s="8"/>
      <c r="B389" s="8" t="str">
        <f>IF(ISBLANK(A389),"",VLOOKUP(A389,DOI_URL!$B$1:$C$74,2,FALSE()))</f>
        <v/>
      </c>
      <c r="C389" s="8"/>
      <c r="D389" s="8"/>
      <c r="I389" s="8"/>
      <c r="J389" s="8"/>
    </row>
    <row r="390">
      <c r="A390" s="8"/>
      <c r="B390" s="8" t="str">
        <f>IF(ISBLANK(A390),"",VLOOKUP(A390,DOI_URL!$B$1:$C$74,2,FALSE()))</f>
        <v/>
      </c>
      <c r="C390" s="8"/>
      <c r="D390" s="8"/>
      <c r="I390" s="8"/>
      <c r="J390" s="8"/>
    </row>
    <row r="391">
      <c r="A391" s="8"/>
      <c r="B391" s="8" t="str">
        <f>IF(ISBLANK(A391),"",VLOOKUP(A391,DOI_URL!$B$1:$C$74,2,FALSE()))</f>
        <v/>
      </c>
      <c r="C391" s="8"/>
      <c r="D391" s="8"/>
      <c r="I391" s="8"/>
      <c r="J391" s="8"/>
    </row>
    <row r="392">
      <c r="A392" s="8"/>
      <c r="B392" s="8" t="str">
        <f>IF(ISBLANK(A392),"",VLOOKUP(A392,DOI_URL!$B$1:$C$74,2,FALSE()))</f>
        <v/>
      </c>
      <c r="C392" s="8"/>
      <c r="D392" s="8"/>
      <c r="I392" s="8"/>
      <c r="J392" s="8"/>
    </row>
    <row r="393">
      <c r="A393" s="8"/>
      <c r="B393" s="8" t="str">
        <f>IF(ISBLANK(A393),"",VLOOKUP(A393,DOI_URL!$B$1:$C$74,2,FALSE()))</f>
        <v/>
      </c>
      <c r="C393" s="8"/>
      <c r="D393" s="8"/>
      <c r="I393" s="8"/>
      <c r="J393" s="8"/>
    </row>
    <row r="394">
      <c r="A394" s="8"/>
      <c r="B394" s="8" t="str">
        <f>IF(ISBLANK(A394),"",VLOOKUP(A394,DOI_URL!$B$1:$C$74,2,FALSE()))</f>
        <v/>
      </c>
      <c r="C394" s="8"/>
      <c r="D394" s="8"/>
      <c r="I394" s="8"/>
      <c r="J394" s="8"/>
    </row>
    <row r="395">
      <c r="A395" s="8"/>
      <c r="B395" s="8" t="str">
        <f>IF(ISBLANK(A395),"",VLOOKUP(A395,DOI_URL!$B$1:$C$74,2,FALSE()))</f>
        <v/>
      </c>
      <c r="C395" s="8"/>
      <c r="D395" s="8"/>
      <c r="I395" s="8"/>
      <c r="J395" s="8"/>
    </row>
    <row r="396">
      <c r="A396" s="8"/>
      <c r="B396" s="8" t="str">
        <f>IF(ISBLANK(A396),"",VLOOKUP(A396,DOI_URL!$B$1:$C$74,2,FALSE()))</f>
        <v/>
      </c>
      <c r="C396" s="8"/>
      <c r="D396" s="8"/>
      <c r="I396" s="8"/>
      <c r="J396" s="8"/>
    </row>
    <row r="397">
      <c r="A397" s="8"/>
      <c r="B397" s="8" t="str">
        <f>IF(ISBLANK(A397),"",VLOOKUP(A397,DOI_URL!$B$1:$C$74,2,FALSE()))</f>
        <v/>
      </c>
      <c r="C397" s="8"/>
      <c r="D397" s="8"/>
      <c r="I397" s="8"/>
      <c r="J397" s="8"/>
    </row>
    <row r="398">
      <c r="A398" s="8"/>
      <c r="B398" s="8" t="str">
        <f>IF(ISBLANK(A398),"",VLOOKUP(A398,DOI_URL!$B$1:$C$74,2,FALSE()))</f>
        <v/>
      </c>
      <c r="C398" s="8"/>
      <c r="D398" s="8"/>
      <c r="I398" s="8"/>
      <c r="J398" s="8"/>
    </row>
    <row r="399">
      <c r="A399" s="8"/>
      <c r="B399" s="8" t="str">
        <f>IF(ISBLANK(A399),"",VLOOKUP(A399,DOI_URL!$B$1:$C$74,2,FALSE()))</f>
        <v/>
      </c>
      <c r="C399" s="8"/>
      <c r="D399" s="8"/>
      <c r="I399" s="8"/>
      <c r="J399" s="8"/>
    </row>
    <row r="400">
      <c r="A400" s="8"/>
      <c r="B400" s="8" t="str">
        <f>IF(ISBLANK(A400),"",VLOOKUP(A400,DOI_URL!$B$1:$C$74,2,FALSE()))</f>
        <v/>
      </c>
      <c r="C400" s="8"/>
      <c r="D400" s="8"/>
      <c r="I400" s="8"/>
      <c r="J400" s="8"/>
    </row>
    <row r="401">
      <c r="A401" s="8"/>
      <c r="B401" s="8" t="str">
        <f>IF(ISBLANK(A401),"",VLOOKUP(A401,DOI_URL!$B$1:$C$74,2,FALSE()))</f>
        <v/>
      </c>
      <c r="C401" s="8"/>
      <c r="D401" s="8"/>
      <c r="I401" s="8"/>
      <c r="J401" s="8"/>
    </row>
    <row r="402">
      <c r="A402" s="8"/>
      <c r="B402" s="8" t="str">
        <f>IF(ISBLANK(A402),"",VLOOKUP(A402,DOI_URL!$B$1:$C$74,2,FALSE()))</f>
        <v/>
      </c>
      <c r="C402" s="8"/>
      <c r="D402" s="8"/>
      <c r="I402" s="8"/>
      <c r="J402" s="8"/>
    </row>
    <row r="403">
      <c r="A403" s="8"/>
      <c r="B403" s="8" t="str">
        <f>IF(ISBLANK(A403),"",VLOOKUP(A403,DOI_URL!$B$1:$C$74,2,FALSE()))</f>
        <v/>
      </c>
      <c r="C403" s="8"/>
      <c r="D403" s="8"/>
      <c r="I403" s="8"/>
      <c r="J403" s="8"/>
    </row>
    <row r="404">
      <c r="A404" s="8"/>
      <c r="B404" s="8" t="str">
        <f>IF(ISBLANK(A404),"",VLOOKUP(A404,DOI_URL!$B$1:$C$74,2,FALSE()))</f>
        <v/>
      </c>
      <c r="C404" s="8"/>
      <c r="D404" s="8"/>
      <c r="I404" s="8"/>
      <c r="J404" s="8"/>
    </row>
    <row r="405">
      <c r="A405" s="8"/>
      <c r="B405" s="8" t="str">
        <f>IF(ISBLANK(A405),"",VLOOKUP(A405,DOI_URL!$B$1:$C$74,2,FALSE()))</f>
        <v/>
      </c>
      <c r="C405" s="8"/>
      <c r="D405" s="8"/>
      <c r="I405" s="8"/>
      <c r="J405" s="8"/>
    </row>
    <row r="406">
      <c r="A406" s="8"/>
      <c r="B406" s="8" t="str">
        <f>IF(ISBLANK(A406),"",VLOOKUP(A406,DOI_URL!$B$1:$C$74,2,FALSE()))</f>
        <v/>
      </c>
      <c r="C406" s="8"/>
      <c r="D406" s="8"/>
      <c r="I406" s="8"/>
      <c r="J406" s="8"/>
    </row>
    <row r="407">
      <c r="A407" s="8"/>
      <c r="B407" s="8" t="str">
        <f>IF(ISBLANK(A407),"",VLOOKUP(A407,DOI_URL!$B$1:$C$74,2,FALSE()))</f>
        <v/>
      </c>
      <c r="C407" s="8"/>
      <c r="D407" s="8"/>
      <c r="I407" s="8"/>
      <c r="J407" s="8"/>
    </row>
    <row r="408">
      <c r="A408" s="8"/>
      <c r="B408" s="8" t="str">
        <f>IF(ISBLANK(A408),"",VLOOKUP(A408,DOI_URL!$B$1:$C$74,2,FALSE()))</f>
        <v/>
      </c>
      <c r="C408" s="8"/>
      <c r="D408" s="8"/>
      <c r="I408" s="8"/>
      <c r="J408" s="8"/>
    </row>
    <row r="409">
      <c r="A409" s="8"/>
      <c r="B409" s="8" t="str">
        <f>IF(ISBLANK(A409),"",VLOOKUP(A409,DOI_URL!$B$1:$C$74,2,FALSE()))</f>
        <v/>
      </c>
      <c r="C409" s="8"/>
      <c r="D409" s="8"/>
      <c r="I409" s="8"/>
      <c r="J409" s="8"/>
    </row>
    <row r="410">
      <c r="A410" s="8"/>
      <c r="B410" s="8" t="str">
        <f>IF(ISBLANK(A410),"",VLOOKUP(A410,DOI_URL!$B$1:$C$74,2,FALSE()))</f>
        <v/>
      </c>
      <c r="C410" s="8"/>
      <c r="D410" s="8"/>
      <c r="I410" s="8"/>
      <c r="J410" s="8"/>
    </row>
    <row r="411">
      <c r="A411" s="8"/>
      <c r="B411" s="8" t="str">
        <f>IF(ISBLANK(A411),"",VLOOKUP(A411,DOI_URL!$B$1:$C$74,2,FALSE()))</f>
        <v/>
      </c>
      <c r="C411" s="8"/>
      <c r="D411" s="8"/>
      <c r="I411" s="8"/>
      <c r="J411" s="8"/>
    </row>
    <row r="412">
      <c r="A412" s="8"/>
      <c r="B412" s="8" t="str">
        <f>IF(ISBLANK(A412),"",VLOOKUP(A412,DOI_URL!$B$1:$C$74,2,FALSE()))</f>
        <v/>
      </c>
      <c r="C412" s="8"/>
      <c r="D412" s="8"/>
      <c r="I412" s="8"/>
      <c r="J412" s="8"/>
    </row>
    <row r="413">
      <c r="A413" s="8"/>
      <c r="B413" s="8" t="str">
        <f>IF(ISBLANK(A413),"",VLOOKUP(A413,DOI_URL!$B$1:$C$74,2,FALSE()))</f>
        <v/>
      </c>
      <c r="C413" s="8"/>
      <c r="D413" s="8"/>
      <c r="I413" s="8"/>
      <c r="J413" s="8"/>
    </row>
    <row r="414">
      <c r="A414" s="8"/>
      <c r="B414" s="8" t="str">
        <f>IF(ISBLANK(A414),"",VLOOKUP(A414,DOI_URL!$B$1:$C$74,2,FALSE()))</f>
        <v/>
      </c>
      <c r="C414" s="8"/>
      <c r="D414" s="8"/>
      <c r="I414" s="8"/>
      <c r="J414" s="8"/>
    </row>
    <row r="415">
      <c r="A415" s="8"/>
      <c r="B415" s="8" t="str">
        <f>IF(ISBLANK(A415),"",VLOOKUP(A415,DOI_URL!$B$1:$C$74,2,FALSE()))</f>
        <v/>
      </c>
      <c r="C415" s="8"/>
      <c r="D415" s="8"/>
      <c r="I415" s="8"/>
      <c r="J415" s="8"/>
    </row>
    <row r="416">
      <c r="A416" s="8"/>
      <c r="B416" s="8" t="str">
        <f>IF(ISBLANK(A416),"",VLOOKUP(A416,DOI_URL!$B$1:$C$74,2,FALSE()))</f>
        <v/>
      </c>
      <c r="C416" s="8"/>
      <c r="D416" s="8"/>
      <c r="I416" s="8"/>
      <c r="J416" s="8"/>
    </row>
    <row r="417">
      <c r="A417" s="8"/>
      <c r="B417" s="8" t="str">
        <f>IF(ISBLANK(A417),"",VLOOKUP(A417,DOI_URL!$B$1:$C$74,2,FALSE()))</f>
        <v/>
      </c>
      <c r="C417" s="8"/>
      <c r="D417" s="8"/>
      <c r="I417" s="8"/>
      <c r="J417" s="8"/>
    </row>
    <row r="418">
      <c r="A418" s="8"/>
      <c r="B418" s="8" t="str">
        <f>IF(ISBLANK(A418),"",VLOOKUP(A418,DOI_URL!$B$1:$C$74,2,FALSE()))</f>
        <v/>
      </c>
      <c r="C418" s="8"/>
      <c r="D418" s="8"/>
      <c r="I418" s="8"/>
      <c r="J418" s="8"/>
    </row>
    <row r="419">
      <c r="A419" s="8"/>
      <c r="B419" s="8" t="str">
        <f>IF(ISBLANK(A419),"",VLOOKUP(A419,DOI_URL!$B$1:$C$74,2,FALSE()))</f>
        <v/>
      </c>
      <c r="C419" s="8"/>
      <c r="D419" s="8"/>
      <c r="I419" s="8"/>
      <c r="J419" s="8"/>
    </row>
    <row r="420">
      <c r="A420" s="8"/>
      <c r="B420" s="8" t="str">
        <f>IF(ISBLANK(A420),"",VLOOKUP(A420,DOI_URL!$B$1:$C$74,2,FALSE()))</f>
        <v/>
      </c>
      <c r="C420" s="8"/>
      <c r="D420" s="8"/>
      <c r="I420" s="8"/>
      <c r="J420" s="8"/>
    </row>
    <row r="421">
      <c r="A421" s="8"/>
      <c r="B421" s="8" t="str">
        <f>IF(ISBLANK(A421),"",VLOOKUP(A421,DOI_URL!$B$1:$C$74,2,FALSE()))</f>
        <v/>
      </c>
      <c r="C421" s="8"/>
      <c r="D421" s="8"/>
      <c r="I421" s="8"/>
      <c r="J421" s="8"/>
    </row>
    <row r="422">
      <c r="A422" s="8"/>
      <c r="B422" s="8" t="str">
        <f>IF(ISBLANK(A422),"",VLOOKUP(A422,DOI_URL!$B$1:$C$74,2,FALSE()))</f>
        <v/>
      </c>
      <c r="C422" s="8"/>
      <c r="D422" s="8"/>
      <c r="I422" s="8"/>
      <c r="J422" s="8"/>
    </row>
    <row r="423">
      <c r="A423" s="8"/>
      <c r="B423" s="8" t="str">
        <f>IF(ISBLANK(A423),"",VLOOKUP(A423,DOI_URL!$B$1:$C$74,2,FALSE()))</f>
        <v/>
      </c>
      <c r="C423" s="8"/>
      <c r="D423" s="8"/>
      <c r="I423" s="8"/>
      <c r="J423" s="8"/>
    </row>
    <row r="424">
      <c r="A424" s="8"/>
      <c r="B424" s="8" t="str">
        <f>IF(ISBLANK(A424),"",VLOOKUP(A424,DOI_URL!$B$1:$C$74,2,FALSE()))</f>
        <v/>
      </c>
      <c r="C424" s="8"/>
      <c r="D424" s="8"/>
      <c r="I424" s="8"/>
      <c r="J424" s="8"/>
    </row>
    <row r="425">
      <c r="A425" s="8"/>
      <c r="B425" s="8" t="str">
        <f>IF(ISBLANK(A425),"",VLOOKUP(A425,DOI_URL!$B$1:$C$74,2,FALSE()))</f>
        <v/>
      </c>
      <c r="C425" s="8"/>
      <c r="D425" s="8"/>
      <c r="I425" s="8"/>
      <c r="J425" s="8"/>
    </row>
    <row r="426">
      <c r="A426" s="8"/>
      <c r="B426" s="8" t="str">
        <f>IF(ISBLANK(A426),"",VLOOKUP(A426,DOI_URL!$B$1:$C$74,2,FALSE()))</f>
        <v/>
      </c>
      <c r="C426" s="8"/>
      <c r="D426" s="8"/>
      <c r="I426" s="8"/>
      <c r="J426" s="8"/>
    </row>
    <row r="427">
      <c r="A427" s="8"/>
      <c r="B427" s="8" t="str">
        <f>IF(ISBLANK(A427),"",VLOOKUP(A427,DOI_URL!$B$1:$C$74,2,FALSE()))</f>
        <v/>
      </c>
      <c r="C427" s="8"/>
      <c r="D427" s="8"/>
      <c r="I427" s="8"/>
      <c r="J427" s="8"/>
    </row>
    <row r="428">
      <c r="A428" s="8"/>
      <c r="B428" s="8" t="str">
        <f>IF(ISBLANK(A428),"",VLOOKUP(A428,DOI_URL!$B$1:$C$74,2,FALSE()))</f>
        <v/>
      </c>
      <c r="C428" s="8"/>
      <c r="D428" s="8"/>
      <c r="I428" s="8"/>
      <c r="J428" s="8"/>
    </row>
    <row r="429">
      <c r="A429" s="8"/>
      <c r="B429" s="8" t="str">
        <f>IF(ISBLANK(A429),"",VLOOKUP(A429,DOI_URL!$B$1:$C$74,2,FALSE()))</f>
        <v/>
      </c>
      <c r="C429" s="8"/>
      <c r="D429" s="8"/>
      <c r="I429" s="8"/>
      <c r="J429" s="8"/>
    </row>
    <row r="430">
      <c r="A430" s="8"/>
      <c r="B430" s="8" t="str">
        <f>IF(ISBLANK(A430),"",VLOOKUP(A430,DOI_URL!$B$1:$C$74,2,FALSE()))</f>
        <v/>
      </c>
      <c r="C430" s="8"/>
      <c r="D430" s="8"/>
      <c r="I430" s="8"/>
      <c r="J430" s="8"/>
    </row>
    <row r="431">
      <c r="A431" s="8"/>
      <c r="B431" s="8" t="str">
        <f>IF(ISBLANK(A431),"",VLOOKUP(A431,DOI_URL!$B$1:$C$74,2,FALSE()))</f>
        <v/>
      </c>
      <c r="C431" s="8"/>
      <c r="D431" s="8"/>
      <c r="I431" s="8"/>
      <c r="J431" s="8"/>
    </row>
    <row r="432">
      <c r="A432" s="8"/>
      <c r="B432" s="8" t="str">
        <f>IF(ISBLANK(A432),"",VLOOKUP(A432,DOI_URL!$B$1:$C$74,2,FALSE()))</f>
        <v/>
      </c>
      <c r="C432" s="8"/>
      <c r="D432" s="8"/>
      <c r="I432" s="8"/>
      <c r="J432" s="8"/>
    </row>
    <row r="433">
      <c r="A433" s="8"/>
      <c r="B433" s="8" t="str">
        <f>IF(ISBLANK(A433),"",VLOOKUP(A433,DOI_URL!$B$1:$C$74,2,FALSE()))</f>
        <v/>
      </c>
      <c r="C433" s="8"/>
      <c r="D433" s="8"/>
      <c r="I433" s="8"/>
      <c r="J433" s="8"/>
    </row>
    <row r="434">
      <c r="A434" s="8"/>
      <c r="B434" s="8" t="str">
        <f>IF(ISBLANK(A434),"",VLOOKUP(A434,DOI_URL!$B$1:$C$74,2,FALSE()))</f>
        <v/>
      </c>
      <c r="C434" s="8"/>
      <c r="D434" s="8"/>
      <c r="I434" s="8"/>
      <c r="J434" s="8"/>
    </row>
    <row r="435">
      <c r="A435" s="8"/>
      <c r="B435" s="8" t="str">
        <f>IF(ISBLANK(A435),"",VLOOKUP(A435,DOI_URL!$B$1:$C$74,2,FALSE()))</f>
        <v/>
      </c>
      <c r="C435" s="8"/>
      <c r="D435" s="8"/>
      <c r="I435" s="8"/>
      <c r="J435" s="8"/>
    </row>
    <row r="436">
      <c r="A436" s="8"/>
      <c r="B436" s="8" t="str">
        <f>IF(ISBLANK(A436),"",VLOOKUP(A436,DOI_URL!$B$1:$C$74,2,FALSE()))</f>
        <v/>
      </c>
      <c r="C436" s="8"/>
      <c r="D436" s="8"/>
      <c r="I436" s="8"/>
      <c r="J436" s="8"/>
    </row>
    <row r="437">
      <c r="A437" s="8"/>
      <c r="B437" s="8" t="str">
        <f>IF(ISBLANK(A437),"",VLOOKUP(A437,DOI_URL!$B$1:$C$74,2,FALSE()))</f>
        <v/>
      </c>
      <c r="C437" s="8"/>
      <c r="D437" s="8"/>
      <c r="I437" s="8"/>
      <c r="J437" s="8"/>
    </row>
    <row r="438">
      <c r="A438" s="8"/>
      <c r="B438" s="8" t="str">
        <f>IF(ISBLANK(A438),"",VLOOKUP(A438,DOI_URL!$B$1:$C$74,2,FALSE()))</f>
        <v/>
      </c>
      <c r="C438" s="8"/>
      <c r="D438" s="8"/>
      <c r="I438" s="8"/>
      <c r="J438" s="8"/>
    </row>
    <row r="439">
      <c r="A439" s="8"/>
      <c r="B439" s="8" t="str">
        <f>IF(ISBLANK(A439),"",VLOOKUP(A439,DOI_URL!$B$1:$C$74,2,FALSE()))</f>
        <v/>
      </c>
      <c r="C439" s="8"/>
      <c r="D439" s="8"/>
      <c r="I439" s="8"/>
      <c r="J439" s="8"/>
    </row>
    <row r="440">
      <c r="A440" s="8"/>
      <c r="B440" s="8" t="str">
        <f>IF(ISBLANK(A440),"",VLOOKUP(A440,DOI_URL!$B$1:$C$74,2,FALSE()))</f>
        <v/>
      </c>
      <c r="C440" s="8"/>
      <c r="D440" s="8"/>
      <c r="I440" s="8"/>
      <c r="J440" s="8"/>
    </row>
    <row r="441">
      <c r="A441" s="8"/>
      <c r="B441" s="8" t="str">
        <f>IF(ISBLANK(A441),"",VLOOKUP(A441,DOI_URL!$B$1:$C$74,2,FALSE()))</f>
        <v/>
      </c>
      <c r="C441" s="8"/>
      <c r="D441" s="8"/>
      <c r="I441" s="8"/>
      <c r="J441" s="8"/>
    </row>
    <row r="442">
      <c r="A442" s="8"/>
      <c r="B442" s="8" t="str">
        <f>IF(ISBLANK(A442),"",VLOOKUP(A442,DOI_URL!$B$1:$C$74,2,FALSE()))</f>
        <v/>
      </c>
      <c r="C442" s="8"/>
      <c r="D442" s="8"/>
      <c r="I442" s="8"/>
      <c r="J442" s="8"/>
    </row>
    <row r="443">
      <c r="A443" s="8"/>
      <c r="B443" s="8" t="str">
        <f>IF(ISBLANK(A443),"",VLOOKUP(A443,DOI_URL!$B$1:$C$74,2,FALSE()))</f>
        <v/>
      </c>
      <c r="C443" s="8"/>
      <c r="D443" s="8"/>
      <c r="I443" s="8"/>
      <c r="J443" s="8"/>
    </row>
    <row r="444">
      <c r="A444" s="8"/>
      <c r="B444" s="8" t="str">
        <f>IF(ISBLANK(A444),"",VLOOKUP(A444,DOI_URL!$B$1:$C$74,2,FALSE()))</f>
        <v/>
      </c>
      <c r="C444" s="8"/>
      <c r="D444" s="8"/>
      <c r="I444" s="8"/>
      <c r="J444" s="8"/>
    </row>
    <row r="445">
      <c r="A445" s="8"/>
      <c r="B445" s="8" t="str">
        <f>IF(ISBLANK(A445),"",VLOOKUP(A445,DOI_URL!$B$1:$C$74,2,FALSE()))</f>
        <v/>
      </c>
      <c r="C445" s="8"/>
      <c r="D445" s="8"/>
      <c r="I445" s="8"/>
      <c r="J445" s="8"/>
    </row>
    <row r="446">
      <c r="A446" s="8"/>
      <c r="B446" s="8" t="str">
        <f>IF(ISBLANK(A446),"",VLOOKUP(A446,DOI_URL!$B$1:$C$74,2,FALSE()))</f>
        <v/>
      </c>
      <c r="C446" s="8"/>
      <c r="D446" s="8"/>
      <c r="I446" s="8"/>
      <c r="J446" s="8"/>
    </row>
    <row r="447">
      <c r="A447" s="8"/>
      <c r="B447" s="8" t="str">
        <f>IF(ISBLANK(A447),"",VLOOKUP(A447,DOI_URL!$B$1:$C$74,2,FALSE()))</f>
        <v/>
      </c>
      <c r="C447" s="8"/>
      <c r="D447" s="8"/>
      <c r="I447" s="8"/>
      <c r="J447" s="8"/>
    </row>
    <row r="448">
      <c r="A448" s="8"/>
      <c r="B448" s="8" t="str">
        <f>IF(ISBLANK(A448),"",VLOOKUP(A448,DOI_URL!$B$1:$C$74,2,FALSE()))</f>
        <v/>
      </c>
      <c r="C448" s="8"/>
      <c r="D448" s="8"/>
      <c r="I448" s="8"/>
      <c r="J448" s="8"/>
    </row>
    <row r="449">
      <c r="A449" s="8"/>
      <c r="B449" s="8" t="str">
        <f>IF(ISBLANK(A449),"",VLOOKUP(A449,DOI_URL!$B$1:$C$74,2,FALSE()))</f>
        <v/>
      </c>
      <c r="C449" s="8"/>
      <c r="D449" s="8"/>
      <c r="I449" s="8"/>
      <c r="J449" s="8"/>
    </row>
    <row r="450">
      <c r="A450" s="8"/>
      <c r="B450" s="8" t="str">
        <f>IF(ISBLANK(A450),"",VLOOKUP(A450,DOI_URL!$B$1:$C$74,2,FALSE()))</f>
        <v/>
      </c>
      <c r="C450" s="8"/>
      <c r="D450" s="8"/>
      <c r="I450" s="8"/>
      <c r="J450" s="8"/>
    </row>
    <row r="451">
      <c r="A451" s="8"/>
      <c r="B451" s="8" t="str">
        <f>IF(ISBLANK(A451),"",VLOOKUP(A451,DOI_URL!$B$1:$C$74,2,FALSE()))</f>
        <v/>
      </c>
      <c r="C451" s="8"/>
      <c r="D451" s="8"/>
      <c r="I451" s="8"/>
      <c r="J451" s="8"/>
    </row>
    <row r="452">
      <c r="A452" s="8"/>
      <c r="B452" s="8" t="str">
        <f>IF(ISBLANK(A452),"",VLOOKUP(A452,DOI_URL!$B$1:$C$74,2,FALSE()))</f>
        <v/>
      </c>
      <c r="C452" s="8"/>
      <c r="D452" s="8"/>
      <c r="I452" s="8"/>
      <c r="J452" s="8"/>
    </row>
    <row r="453">
      <c r="A453" s="8"/>
      <c r="B453" s="8" t="str">
        <f>IF(ISBLANK(A453),"",VLOOKUP(A453,DOI_URL!$B$1:$C$74,2,FALSE()))</f>
        <v/>
      </c>
      <c r="C453" s="8"/>
      <c r="D453" s="8"/>
      <c r="I453" s="8"/>
      <c r="J453" s="8"/>
    </row>
    <row r="454">
      <c r="A454" s="8"/>
      <c r="B454" s="8" t="str">
        <f>IF(ISBLANK(A454),"",VLOOKUP(A454,DOI_URL!$B$1:$C$74,2,FALSE()))</f>
        <v/>
      </c>
      <c r="C454" s="8"/>
      <c r="D454" s="8"/>
      <c r="I454" s="8"/>
      <c r="J454" s="8"/>
    </row>
    <row r="455">
      <c r="A455" s="8"/>
      <c r="B455" s="8" t="str">
        <f>IF(ISBLANK(A455),"",VLOOKUP(A455,DOI_URL!$B$1:$C$74,2,FALSE()))</f>
        <v/>
      </c>
      <c r="C455" s="8"/>
      <c r="D455" s="8"/>
      <c r="I455" s="8"/>
      <c r="J455" s="8"/>
    </row>
    <row r="456">
      <c r="A456" s="8"/>
      <c r="B456" s="8" t="str">
        <f>IF(ISBLANK(A456),"",VLOOKUP(A456,DOI_URL!$B$1:$C$74,2,FALSE()))</f>
        <v/>
      </c>
      <c r="C456" s="8"/>
      <c r="D456" s="8"/>
      <c r="I456" s="8"/>
      <c r="J456" s="8"/>
    </row>
    <row r="457">
      <c r="A457" s="8"/>
      <c r="B457" s="8" t="str">
        <f>IF(ISBLANK(A457),"",VLOOKUP(A457,DOI_URL!$B$1:$C$74,2,FALSE()))</f>
        <v/>
      </c>
      <c r="C457" s="8"/>
      <c r="D457" s="8"/>
      <c r="I457" s="8"/>
      <c r="J457" s="8"/>
    </row>
    <row r="458">
      <c r="A458" s="8"/>
      <c r="B458" s="8" t="str">
        <f>IF(ISBLANK(A458),"",VLOOKUP(A458,DOI_URL!$B$1:$C$74,2,FALSE()))</f>
        <v/>
      </c>
      <c r="C458" s="8"/>
      <c r="D458" s="8"/>
      <c r="I458" s="8"/>
      <c r="J458" s="8"/>
    </row>
    <row r="459">
      <c r="A459" s="8"/>
      <c r="B459" s="8" t="str">
        <f>IF(ISBLANK(A459),"",VLOOKUP(A459,DOI_URL!$B$1:$C$74,2,FALSE()))</f>
        <v/>
      </c>
      <c r="C459" s="8"/>
      <c r="D459" s="8"/>
      <c r="I459" s="8"/>
      <c r="J459" s="8"/>
    </row>
    <row r="460">
      <c r="A460" s="8"/>
      <c r="B460" s="8" t="str">
        <f>IF(ISBLANK(A460),"",VLOOKUP(A460,DOI_URL!$B$1:$C$74,2,FALSE()))</f>
        <v/>
      </c>
      <c r="C460" s="8"/>
      <c r="D460" s="8"/>
      <c r="I460" s="8"/>
      <c r="J460" s="8"/>
    </row>
    <row r="461">
      <c r="A461" s="8"/>
      <c r="B461" s="8" t="str">
        <f>IF(ISBLANK(A461),"",VLOOKUP(A461,DOI_URL!$B$1:$C$74,2,FALSE()))</f>
        <v/>
      </c>
      <c r="C461" s="8"/>
      <c r="D461" s="8"/>
      <c r="I461" s="8"/>
      <c r="J461" s="8"/>
    </row>
    <row r="462">
      <c r="A462" s="8"/>
      <c r="B462" s="8" t="str">
        <f>IF(ISBLANK(A462),"",VLOOKUP(A462,DOI_URL!$B$1:$C$74,2,FALSE()))</f>
        <v/>
      </c>
      <c r="C462" s="8"/>
      <c r="D462" s="8"/>
      <c r="I462" s="8"/>
      <c r="J462" s="8"/>
    </row>
    <row r="463">
      <c r="A463" s="8"/>
      <c r="B463" s="8" t="str">
        <f>IF(ISBLANK(A463),"",VLOOKUP(A463,DOI_URL!$B$1:$C$74,2,FALSE()))</f>
        <v/>
      </c>
      <c r="C463" s="8"/>
      <c r="D463" s="8"/>
      <c r="I463" s="8"/>
      <c r="J463" s="8"/>
    </row>
    <row r="464">
      <c r="A464" s="8"/>
      <c r="B464" s="8" t="str">
        <f>IF(ISBLANK(A464),"",VLOOKUP(A464,DOI_URL!$B$1:$C$74,2,FALSE()))</f>
        <v/>
      </c>
      <c r="C464" s="8"/>
      <c r="D464" s="8"/>
      <c r="I464" s="8"/>
      <c r="J464" s="8"/>
    </row>
    <row r="465">
      <c r="A465" s="8"/>
      <c r="B465" s="8" t="str">
        <f>IF(ISBLANK(A465),"",VLOOKUP(A465,DOI_URL!$B$1:$C$74,2,FALSE()))</f>
        <v/>
      </c>
      <c r="C465" s="8"/>
      <c r="D465" s="8"/>
      <c r="I465" s="8"/>
      <c r="J465" s="8"/>
    </row>
    <row r="466">
      <c r="A466" s="8"/>
      <c r="B466" s="8" t="str">
        <f>IF(ISBLANK(A466),"",VLOOKUP(A466,DOI_URL!$B$1:$C$74,2,FALSE()))</f>
        <v/>
      </c>
      <c r="C466" s="8"/>
      <c r="D466" s="8"/>
      <c r="I466" s="8"/>
      <c r="J466" s="8"/>
    </row>
    <row r="467">
      <c r="A467" s="8"/>
      <c r="B467" s="8" t="str">
        <f>IF(ISBLANK(A467),"",VLOOKUP(A467,DOI_URL!$B$1:$C$74,2,FALSE()))</f>
        <v/>
      </c>
      <c r="C467" s="8"/>
      <c r="D467" s="8"/>
      <c r="I467" s="8"/>
      <c r="J467" s="8"/>
    </row>
    <row r="468">
      <c r="A468" s="8"/>
      <c r="B468" s="8" t="str">
        <f>IF(ISBLANK(A468),"",VLOOKUP(A468,DOI_URL!$B$1:$C$74,2,FALSE()))</f>
        <v/>
      </c>
      <c r="C468" s="8"/>
      <c r="D468" s="8"/>
      <c r="I468" s="8"/>
      <c r="J468" s="8"/>
    </row>
    <row r="469">
      <c r="A469" s="8"/>
      <c r="B469" s="8" t="str">
        <f>IF(ISBLANK(A469),"",VLOOKUP(A469,DOI_URL!$B$1:$C$74,2,FALSE()))</f>
        <v/>
      </c>
      <c r="C469" s="8"/>
      <c r="D469" s="8"/>
      <c r="I469" s="8"/>
      <c r="J469" s="8"/>
    </row>
    <row r="470">
      <c r="A470" s="8"/>
      <c r="B470" s="8" t="str">
        <f>IF(ISBLANK(A470),"",VLOOKUP(A470,DOI_URL!$B$1:$C$74,2,FALSE()))</f>
        <v/>
      </c>
      <c r="C470" s="8"/>
      <c r="D470" s="8"/>
      <c r="I470" s="8"/>
      <c r="J470" s="8"/>
    </row>
    <row r="471">
      <c r="A471" s="8"/>
      <c r="B471" s="8" t="str">
        <f>IF(ISBLANK(A471),"",VLOOKUP(A471,DOI_URL!$B$1:$C$74,2,FALSE()))</f>
        <v/>
      </c>
      <c r="C471" s="8"/>
      <c r="D471" s="8"/>
      <c r="I471" s="8"/>
      <c r="J471" s="8"/>
    </row>
    <row r="472">
      <c r="A472" s="8"/>
      <c r="B472" s="8" t="str">
        <f>IF(ISBLANK(A472),"",VLOOKUP(A472,DOI_URL!$B$1:$C$74,2,FALSE()))</f>
        <v/>
      </c>
      <c r="C472" s="8"/>
      <c r="D472" s="8"/>
      <c r="I472" s="8"/>
      <c r="J472" s="8"/>
    </row>
    <row r="473">
      <c r="A473" s="8"/>
      <c r="B473" s="8" t="str">
        <f>IF(ISBLANK(A473),"",VLOOKUP(A473,DOI_URL!$B$1:$C$74,2,FALSE()))</f>
        <v/>
      </c>
      <c r="C473" s="8"/>
      <c r="D473" s="8"/>
      <c r="I473" s="8"/>
      <c r="J473" s="8"/>
    </row>
    <row r="474">
      <c r="A474" s="8"/>
      <c r="B474" s="8" t="str">
        <f>IF(ISBLANK(A474),"",VLOOKUP(A474,DOI_URL!$B$1:$C$74,2,FALSE()))</f>
        <v/>
      </c>
      <c r="C474" s="8"/>
      <c r="D474" s="8"/>
      <c r="I474" s="8"/>
      <c r="J474" s="8"/>
    </row>
    <row r="475">
      <c r="A475" s="8"/>
      <c r="B475" s="8" t="str">
        <f>IF(ISBLANK(A475),"",VLOOKUP(A475,DOI_URL!$B$1:$C$74,2,FALSE()))</f>
        <v/>
      </c>
      <c r="C475" s="8"/>
      <c r="D475" s="8"/>
      <c r="I475" s="8"/>
      <c r="J475" s="8"/>
    </row>
    <row r="476">
      <c r="A476" s="8"/>
      <c r="B476" s="8" t="str">
        <f>IF(ISBLANK(A476),"",VLOOKUP(A476,DOI_URL!$B$1:$C$74,2,FALSE()))</f>
        <v/>
      </c>
      <c r="C476" s="8"/>
      <c r="D476" s="8"/>
      <c r="I476" s="8"/>
      <c r="J476" s="8"/>
    </row>
    <row r="477">
      <c r="A477" s="8"/>
      <c r="B477" s="8" t="str">
        <f>IF(ISBLANK(A477),"",VLOOKUP(A477,DOI_URL!$B$1:$C$74,2,FALSE()))</f>
        <v/>
      </c>
      <c r="C477" s="8"/>
      <c r="D477" s="8"/>
      <c r="I477" s="8"/>
      <c r="J477" s="8"/>
    </row>
    <row r="478">
      <c r="A478" s="8"/>
      <c r="B478" s="8" t="str">
        <f>IF(ISBLANK(A478),"",VLOOKUP(A478,DOI_URL!$B$1:$C$74,2,FALSE()))</f>
        <v/>
      </c>
      <c r="C478" s="8"/>
      <c r="D478" s="8"/>
      <c r="I478" s="8"/>
      <c r="J478" s="8"/>
    </row>
    <row r="479">
      <c r="A479" s="8"/>
      <c r="B479" s="8" t="str">
        <f>IF(ISBLANK(A479),"",VLOOKUP(A479,DOI_URL!$B$1:$C$74,2,FALSE()))</f>
        <v/>
      </c>
      <c r="C479" s="8"/>
      <c r="D479" s="8"/>
      <c r="I479" s="8"/>
      <c r="J479" s="8"/>
    </row>
    <row r="480">
      <c r="A480" s="8"/>
      <c r="B480" s="8" t="str">
        <f>IF(ISBLANK(A480),"",VLOOKUP(A480,DOI_URL!$B$1:$C$74,2,FALSE()))</f>
        <v/>
      </c>
      <c r="C480" s="8"/>
      <c r="D480" s="8"/>
      <c r="I480" s="8"/>
      <c r="J480" s="8"/>
    </row>
    <row r="481">
      <c r="A481" s="8"/>
      <c r="B481" s="8" t="str">
        <f>IF(ISBLANK(A481),"",VLOOKUP(A481,DOI_URL!$B$1:$C$74,2,FALSE()))</f>
        <v/>
      </c>
      <c r="C481" s="8"/>
      <c r="D481" s="8"/>
      <c r="I481" s="8"/>
      <c r="J481" s="8"/>
    </row>
    <row r="482">
      <c r="A482" s="8"/>
      <c r="B482" s="8" t="str">
        <f>IF(ISBLANK(A482),"",VLOOKUP(A482,DOI_URL!$B$1:$C$74,2,FALSE()))</f>
        <v/>
      </c>
      <c r="C482" s="8"/>
      <c r="D482" s="8"/>
      <c r="I482" s="8"/>
      <c r="J482" s="8"/>
    </row>
    <row r="483">
      <c r="A483" s="8"/>
      <c r="B483" s="8" t="str">
        <f>IF(ISBLANK(A483),"",VLOOKUP(A483,DOI_URL!$B$1:$C$74,2,FALSE()))</f>
        <v/>
      </c>
      <c r="C483" s="8"/>
      <c r="D483" s="8"/>
      <c r="I483" s="8"/>
      <c r="J483" s="8"/>
    </row>
    <row r="484">
      <c r="A484" s="8"/>
      <c r="B484" s="8" t="str">
        <f>IF(ISBLANK(A484),"",VLOOKUP(A484,DOI_URL!$B$1:$C$74,2,FALSE()))</f>
        <v/>
      </c>
      <c r="C484" s="8"/>
      <c r="D484" s="8"/>
      <c r="I484" s="8"/>
      <c r="J484" s="8"/>
    </row>
    <row r="485">
      <c r="A485" s="8"/>
      <c r="B485" s="8" t="str">
        <f>IF(ISBLANK(A485),"",VLOOKUP(A485,DOI_URL!$B$1:$C$74,2,FALSE()))</f>
        <v/>
      </c>
      <c r="C485" s="8"/>
      <c r="D485" s="8"/>
      <c r="I485" s="8"/>
      <c r="J485" s="8"/>
    </row>
    <row r="486">
      <c r="A486" s="8"/>
      <c r="B486" s="8" t="str">
        <f>IF(ISBLANK(A486),"",VLOOKUP(A486,DOI_URL!$B$1:$C$74,2,FALSE()))</f>
        <v/>
      </c>
      <c r="C486" s="8"/>
      <c r="D486" s="8"/>
      <c r="I486" s="8"/>
      <c r="J486" s="8"/>
    </row>
    <row r="487">
      <c r="A487" s="8"/>
      <c r="B487" s="8" t="str">
        <f>IF(ISBLANK(A487),"",VLOOKUP(A487,DOI_URL!$B$1:$C$74,2,FALSE()))</f>
        <v/>
      </c>
      <c r="C487" s="8"/>
      <c r="D487" s="8"/>
      <c r="I487" s="8"/>
      <c r="J487" s="8"/>
    </row>
    <row r="488">
      <c r="A488" s="8"/>
      <c r="B488" s="8" t="str">
        <f>IF(ISBLANK(A488),"",VLOOKUP(A488,DOI_URL!$B$1:$C$74,2,FALSE()))</f>
        <v/>
      </c>
      <c r="C488" s="8"/>
      <c r="D488" s="8"/>
      <c r="I488" s="8"/>
      <c r="J488" s="8"/>
    </row>
    <row r="489">
      <c r="A489" s="8"/>
      <c r="B489" s="8" t="str">
        <f>IF(ISBLANK(A489),"",VLOOKUP(A489,DOI_URL!$B$1:$C$74,2,FALSE()))</f>
        <v/>
      </c>
      <c r="C489" s="8"/>
      <c r="D489" s="8"/>
      <c r="I489" s="8"/>
      <c r="J489" s="8"/>
    </row>
    <row r="490">
      <c r="A490" s="8"/>
      <c r="B490" s="8" t="str">
        <f>IF(ISBLANK(A490),"",VLOOKUP(A490,DOI_URL!$B$1:$C$74,2,FALSE()))</f>
        <v/>
      </c>
      <c r="C490" s="8"/>
      <c r="D490" s="8"/>
      <c r="I490" s="8"/>
      <c r="J490" s="8"/>
    </row>
    <row r="491">
      <c r="A491" s="8"/>
      <c r="B491" s="8" t="str">
        <f>IF(ISBLANK(A491),"",VLOOKUP(A491,DOI_URL!$B$1:$C$74,2,FALSE()))</f>
        <v/>
      </c>
      <c r="C491" s="8"/>
      <c r="D491" s="8"/>
      <c r="I491" s="8"/>
      <c r="J491" s="8"/>
    </row>
    <row r="492">
      <c r="A492" s="8"/>
      <c r="B492" s="8" t="str">
        <f>IF(ISBLANK(A492),"",VLOOKUP(A492,DOI_URL!$B$1:$C$74,2,FALSE()))</f>
        <v/>
      </c>
      <c r="C492" s="8"/>
      <c r="D492" s="8"/>
      <c r="I492" s="8"/>
      <c r="J492" s="8"/>
    </row>
    <row r="493">
      <c r="A493" s="8"/>
      <c r="B493" s="8" t="str">
        <f>IF(ISBLANK(A493),"",VLOOKUP(A493,DOI_URL!$B$1:$C$74,2,FALSE()))</f>
        <v/>
      </c>
      <c r="C493" s="8"/>
      <c r="D493" s="8"/>
      <c r="I493" s="8"/>
      <c r="J493" s="8"/>
    </row>
    <row r="494">
      <c r="A494" s="8"/>
      <c r="B494" s="8" t="str">
        <f>IF(ISBLANK(A494),"",VLOOKUP(A494,DOI_URL!$B$1:$C$74,2,FALSE()))</f>
        <v/>
      </c>
      <c r="C494" s="8"/>
      <c r="D494" s="8"/>
      <c r="I494" s="8"/>
      <c r="J494" s="8"/>
    </row>
    <row r="495">
      <c r="A495" s="8"/>
      <c r="B495" s="8" t="str">
        <f>IF(ISBLANK(A495),"",VLOOKUP(A495,DOI_URL!$B$1:$C$74,2,FALSE()))</f>
        <v/>
      </c>
      <c r="C495" s="8"/>
      <c r="D495" s="8"/>
      <c r="I495" s="8"/>
      <c r="J495" s="8"/>
    </row>
    <row r="496">
      <c r="A496" s="8"/>
      <c r="B496" s="8" t="str">
        <f>IF(ISBLANK(A496),"",VLOOKUP(A496,DOI_URL!$B$1:$C$74,2,FALSE()))</f>
        <v/>
      </c>
      <c r="C496" s="8"/>
      <c r="D496" s="8"/>
      <c r="I496" s="8"/>
      <c r="J496" s="8"/>
    </row>
    <row r="497">
      <c r="A497" s="8"/>
      <c r="B497" s="8" t="str">
        <f>IF(ISBLANK(A497),"",VLOOKUP(A497,DOI_URL!$B$1:$C$74,2,FALSE()))</f>
        <v/>
      </c>
      <c r="C497" s="8"/>
      <c r="D497" s="8"/>
      <c r="I497" s="8"/>
      <c r="J497" s="8"/>
    </row>
    <row r="498">
      <c r="A498" s="8"/>
      <c r="B498" s="8" t="str">
        <f>IF(ISBLANK(A498),"",VLOOKUP(A498,DOI_URL!$B$1:$C$74,2,FALSE()))</f>
        <v/>
      </c>
      <c r="C498" s="8"/>
      <c r="D498" s="8"/>
      <c r="I498" s="8"/>
      <c r="J498" s="8"/>
    </row>
    <row r="499">
      <c r="A499" s="8"/>
      <c r="B499" s="8" t="str">
        <f>IF(ISBLANK(A499),"",VLOOKUP(A499,DOI_URL!$B$1:$C$74,2,FALSE()))</f>
        <v/>
      </c>
      <c r="C499" s="8"/>
      <c r="D499" s="8"/>
      <c r="I499" s="8"/>
      <c r="J499" s="8"/>
    </row>
    <row r="500">
      <c r="A500" s="8"/>
      <c r="B500" s="8" t="str">
        <f>IF(ISBLANK(A500),"",VLOOKUP(A500,DOI_URL!$B$1:$C$74,2,FALSE()))</f>
        <v/>
      </c>
      <c r="C500" s="8"/>
      <c r="D500" s="8"/>
      <c r="I500" s="8"/>
      <c r="J500" s="8"/>
    </row>
    <row r="501">
      <c r="A501" s="8"/>
      <c r="B501" s="8" t="str">
        <f>IF(ISBLANK(A501),"",VLOOKUP(A501,DOI_URL!$B$1:$C$74,2,FALSE()))</f>
        <v/>
      </c>
      <c r="C501" s="8"/>
      <c r="D501" s="8"/>
      <c r="I501" s="8"/>
      <c r="J501" s="8"/>
    </row>
    <row r="502">
      <c r="A502" s="8"/>
      <c r="B502" s="8" t="str">
        <f>IF(ISBLANK(A502),"",VLOOKUP(A502,DOI_URL!$B$1:$C$74,2,FALSE()))</f>
        <v/>
      </c>
      <c r="C502" s="8"/>
      <c r="D502" s="8"/>
      <c r="I502" s="8"/>
      <c r="J502" s="8"/>
    </row>
    <row r="503">
      <c r="A503" s="8"/>
      <c r="B503" s="8" t="str">
        <f>IF(ISBLANK(A503),"",VLOOKUP(A503,DOI_URL!$B$1:$C$74,2,FALSE()))</f>
        <v/>
      </c>
      <c r="C503" s="8"/>
      <c r="D503" s="8"/>
      <c r="I503" s="8"/>
      <c r="J503" s="8"/>
    </row>
    <row r="504">
      <c r="A504" s="8"/>
      <c r="B504" s="8" t="str">
        <f>IF(ISBLANK(A504),"",VLOOKUP(A504,DOI_URL!$B$1:$C$74,2,FALSE()))</f>
        <v/>
      </c>
      <c r="C504" s="8"/>
      <c r="D504" s="8"/>
      <c r="I504" s="8"/>
      <c r="J504" s="8"/>
    </row>
    <row r="505">
      <c r="A505" s="8"/>
      <c r="B505" s="8" t="str">
        <f>IF(ISBLANK(A505),"",VLOOKUP(A505,DOI_URL!$B$1:$C$74,2,FALSE()))</f>
        <v/>
      </c>
      <c r="C505" s="8"/>
      <c r="D505" s="8"/>
      <c r="I505" s="8"/>
      <c r="J505" s="8"/>
    </row>
    <row r="506">
      <c r="A506" s="8"/>
      <c r="B506" s="8" t="str">
        <f>IF(ISBLANK(A506),"",VLOOKUP(A506,DOI_URL!$B$1:$C$74,2,FALSE()))</f>
        <v/>
      </c>
      <c r="C506" s="8"/>
      <c r="D506" s="8"/>
      <c r="I506" s="8"/>
      <c r="J506" s="8"/>
    </row>
    <row r="507">
      <c r="A507" s="8"/>
      <c r="B507" s="8" t="str">
        <f>IF(ISBLANK(A507),"",VLOOKUP(A507,DOI_URL!$B$1:$C$74,2,FALSE()))</f>
        <v/>
      </c>
      <c r="C507" s="8"/>
      <c r="D507" s="8"/>
      <c r="I507" s="8"/>
      <c r="J507" s="8"/>
    </row>
    <row r="508">
      <c r="A508" s="8"/>
      <c r="B508" s="8" t="str">
        <f>IF(ISBLANK(A508),"",VLOOKUP(A508,DOI_URL!$B$1:$C$74,2,FALSE()))</f>
        <v/>
      </c>
      <c r="C508" s="8"/>
      <c r="D508" s="8"/>
      <c r="I508" s="8"/>
      <c r="J508" s="8"/>
    </row>
    <row r="509">
      <c r="A509" s="8"/>
      <c r="B509" s="8" t="str">
        <f>IF(ISBLANK(A509),"",VLOOKUP(A509,DOI_URL!$B$1:$C$74,2,FALSE()))</f>
        <v/>
      </c>
      <c r="C509" s="8"/>
      <c r="D509" s="8"/>
      <c r="I509" s="8"/>
      <c r="J509" s="8"/>
    </row>
    <row r="510">
      <c r="A510" s="8"/>
      <c r="B510" s="8" t="str">
        <f>IF(ISBLANK(A510),"",VLOOKUP(A510,DOI_URL!$B$1:$C$74,2,FALSE()))</f>
        <v/>
      </c>
      <c r="C510" s="8"/>
      <c r="D510" s="8"/>
      <c r="I510" s="8"/>
      <c r="J510" s="8"/>
    </row>
    <row r="511">
      <c r="A511" s="8"/>
      <c r="B511" s="8" t="str">
        <f>IF(ISBLANK(A511),"",VLOOKUP(A511,DOI_URL!$B$1:$C$74,2,FALSE()))</f>
        <v/>
      </c>
      <c r="C511" s="8"/>
      <c r="D511" s="8"/>
      <c r="I511" s="8"/>
      <c r="J511" s="8"/>
    </row>
    <row r="512">
      <c r="A512" s="8"/>
      <c r="B512" s="8" t="str">
        <f>IF(ISBLANK(A512),"",VLOOKUP(A512,DOI_URL!$B$1:$C$74,2,FALSE()))</f>
        <v/>
      </c>
      <c r="C512" s="8"/>
      <c r="D512" s="8"/>
      <c r="I512" s="8"/>
      <c r="J512" s="8"/>
    </row>
    <row r="513">
      <c r="A513" s="8"/>
      <c r="B513" s="8" t="str">
        <f>IF(ISBLANK(A513),"",VLOOKUP(A513,DOI_URL!$B$1:$C$74,2,FALSE()))</f>
        <v/>
      </c>
      <c r="C513" s="8"/>
      <c r="D513" s="8"/>
      <c r="I513" s="8"/>
      <c r="J513" s="8"/>
    </row>
    <row r="514">
      <c r="A514" s="8"/>
      <c r="B514" s="8" t="str">
        <f>IF(ISBLANK(A514),"",VLOOKUP(A514,DOI_URL!$B$1:$C$74,2,FALSE()))</f>
        <v/>
      </c>
      <c r="C514" s="8"/>
      <c r="D514" s="8"/>
      <c r="I514" s="8"/>
      <c r="J514" s="8"/>
    </row>
    <row r="515">
      <c r="A515" s="8"/>
      <c r="B515" s="8" t="str">
        <f>IF(ISBLANK(A515),"",VLOOKUP(A515,DOI_URL!$B$1:$C$74,2,FALSE()))</f>
        <v/>
      </c>
      <c r="C515" s="8"/>
      <c r="D515" s="8"/>
      <c r="I515" s="8"/>
      <c r="J515" s="8"/>
    </row>
    <row r="516">
      <c r="A516" s="8"/>
      <c r="B516" s="8" t="str">
        <f>IF(ISBLANK(A516),"",VLOOKUP(A516,DOI_URL!$B$1:$C$74,2,FALSE()))</f>
        <v/>
      </c>
      <c r="C516" s="8"/>
      <c r="D516" s="8"/>
      <c r="I516" s="8"/>
      <c r="J516" s="8"/>
    </row>
    <row r="517">
      <c r="A517" s="8"/>
      <c r="B517" s="8" t="str">
        <f>IF(ISBLANK(A517),"",VLOOKUP(A517,DOI_URL!$B$1:$C$74,2,FALSE()))</f>
        <v/>
      </c>
      <c r="C517" s="8"/>
      <c r="D517" s="8"/>
      <c r="I517" s="8"/>
      <c r="J517" s="8"/>
    </row>
    <row r="518">
      <c r="A518" s="8"/>
      <c r="B518" s="8" t="str">
        <f>IF(ISBLANK(A518),"",VLOOKUP(A518,DOI_URL!$B$1:$C$74,2,FALSE()))</f>
        <v/>
      </c>
      <c r="C518" s="8"/>
      <c r="D518" s="8"/>
      <c r="I518" s="8"/>
      <c r="J518" s="8"/>
    </row>
    <row r="519">
      <c r="A519" s="8"/>
      <c r="B519" s="8" t="str">
        <f>IF(ISBLANK(A519),"",VLOOKUP(A519,DOI_URL!$B$1:$C$74,2,FALSE()))</f>
        <v/>
      </c>
      <c r="C519" s="8"/>
      <c r="D519" s="8"/>
      <c r="I519" s="8"/>
      <c r="J519" s="8"/>
    </row>
    <row r="520">
      <c r="A520" s="8"/>
      <c r="B520" s="8" t="str">
        <f>IF(ISBLANK(A520),"",VLOOKUP(A520,DOI_URL!$B$1:$C$74,2,FALSE()))</f>
        <v/>
      </c>
      <c r="C520" s="8"/>
      <c r="D520" s="8"/>
      <c r="I520" s="8"/>
      <c r="J520" s="8"/>
    </row>
    <row r="521">
      <c r="A521" s="8"/>
      <c r="B521" s="8" t="str">
        <f>IF(ISBLANK(A521),"",VLOOKUP(A521,DOI_URL!$B$1:$C$74,2,FALSE()))</f>
        <v/>
      </c>
      <c r="C521" s="8"/>
      <c r="D521" s="8"/>
      <c r="I521" s="8"/>
      <c r="J521" s="8"/>
    </row>
    <row r="522">
      <c r="A522" s="8"/>
      <c r="B522" s="8" t="str">
        <f>IF(ISBLANK(A522),"",VLOOKUP(A522,DOI_URL!$B$1:$C$74,2,FALSE()))</f>
        <v/>
      </c>
      <c r="C522" s="8"/>
      <c r="D522" s="8"/>
      <c r="I522" s="8"/>
      <c r="J522" s="8"/>
    </row>
    <row r="523">
      <c r="A523" s="8"/>
      <c r="B523" s="8" t="str">
        <f>IF(ISBLANK(A523),"",VLOOKUP(A523,DOI_URL!$B$1:$C$74,2,FALSE()))</f>
        <v/>
      </c>
      <c r="C523" s="8"/>
      <c r="D523" s="8"/>
      <c r="I523" s="8"/>
      <c r="J523" s="8"/>
    </row>
    <row r="524">
      <c r="A524" s="8"/>
      <c r="B524" s="8" t="str">
        <f>IF(ISBLANK(A524),"",VLOOKUP(A524,DOI_URL!$B$1:$C$74,2,FALSE()))</f>
        <v/>
      </c>
      <c r="C524" s="8"/>
      <c r="D524" s="8"/>
      <c r="I524" s="8"/>
      <c r="J524" s="8"/>
    </row>
    <row r="525">
      <c r="A525" s="8"/>
      <c r="B525" s="8" t="str">
        <f>IF(ISBLANK(A525),"",VLOOKUP(A525,DOI_URL!$B$1:$C$74,2,FALSE()))</f>
        <v/>
      </c>
      <c r="C525" s="8"/>
      <c r="D525" s="8"/>
      <c r="I525" s="8"/>
      <c r="J525" s="8"/>
    </row>
    <row r="526">
      <c r="A526" s="8"/>
      <c r="B526" s="8" t="str">
        <f>IF(ISBLANK(A526),"",VLOOKUP(A526,DOI_URL!$B$1:$C$74,2,FALSE()))</f>
        <v/>
      </c>
      <c r="C526" s="8"/>
      <c r="D526" s="8"/>
      <c r="I526" s="8"/>
      <c r="J526" s="8"/>
    </row>
    <row r="527">
      <c r="A527" s="8"/>
      <c r="B527" s="8" t="str">
        <f>IF(ISBLANK(A527),"",VLOOKUP(A527,DOI_URL!$B$1:$C$74,2,FALSE()))</f>
        <v/>
      </c>
      <c r="C527" s="8"/>
      <c r="D527" s="8"/>
      <c r="I527" s="8"/>
      <c r="J527" s="8"/>
    </row>
    <row r="528">
      <c r="A528" s="8"/>
      <c r="B528" s="8" t="str">
        <f>IF(ISBLANK(A528),"",VLOOKUP(A528,DOI_URL!$B$1:$C$74,2,FALSE()))</f>
        <v/>
      </c>
      <c r="C528" s="8"/>
      <c r="D528" s="8"/>
      <c r="I528" s="8"/>
      <c r="J528" s="8"/>
    </row>
    <row r="529">
      <c r="A529" s="8"/>
      <c r="B529" s="8" t="str">
        <f>IF(ISBLANK(A529),"",VLOOKUP(A529,DOI_URL!$B$1:$C$74,2,FALSE()))</f>
        <v/>
      </c>
      <c r="C529" s="8"/>
      <c r="D529" s="8"/>
      <c r="I529" s="8"/>
      <c r="J529" s="8"/>
    </row>
    <row r="530">
      <c r="A530" s="8"/>
      <c r="B530" s="8" t="str">
        <f>IF(ISBLANK(A530),"",VLOOKUP(A530,DOI_URL!$B$1:$C$74,2,FALSE()))</f>
        <v/>
      </c>
      <c r="C530" s="8"/>
      <c r="D530" s="8"/>
      <c r="I530" s="8"/>
      <c r="J530" s="8"/>
    </row>
    <row r="531">
      <c r="A531" s="8"/>
      <c r="B531" s="8" t="str">
        <f>IF(ISBLANK(A531),"",VLOOKUP(A531,DOI_URL!$B$1:$C$74,2,FALSE()))</f>
        <v/>
      </c>
      <c r="C531" s="8"/>
      <c r="D531" s="8"/>
      <c r="I531" s="8"/>
      <c r="J531" s="8"/>
    </row>
    <row r="532">
      <c r="A532" s="8"/>
      <c r="B532" s="8" t="str">
        <f>IF(ISBLANK(A532),"",VLOOKUP(A532,DOI_URL!$B$1:$C$74,2,FALSE()))</f>
        <v/>
      </c>
      <c r="C532" s="8"/>
      <c r="D532" s="8"/>
      <c r="I532" s="8"/>
      <c r="J532" s="8"/>
    </row>
    <row r="533">
      <c r="A533" s="8"/>
      <c r="B533" s="8" t="str">
        <f>IF(ISBLANK(A533),"",VLOOKUP(A533,DOI_URL!$B$1:$C$74,2,FALSE()))</f>
        <v/>
      </c>
      <c r="C533" s="8"/>
      <c r="D533" s="8"/>
      <c r="I533" s="8"/>
      <c r="J533" s="8"/>
    </row>
    <row r="534">
      <c r="A534" s="8"/>
      <c r="B534" s="8" t="str">
        <f>IF(ISBLANK(A534),"",VLOOKUP(A534,DOI_URL!$B$1:$C$74,2,FALSE()))</f>
        <v/>
      </c>
      <c r="C534" s="8"/>
      <c r="D534" s="8"/>
      <c r="I534" s="8"/>
      <c r="J534" s="8"/>
    </row>
    <row r="535">
      <c r="A535" s="8"/>
      <c r="B535" s="8" t="str">
        <f>IF(ISBLANK(A535),"",VLOOKUP(A535,DOI_URL!$B$1:$C$74,2,FALSE()))</f>
        <v/>
      </c>
      <c r="C535" s="8"/>
      <c r="D535" s="8"/>
      <c r="I535" s="8"/>
      <c r="J535" s="8"/>
    </row>
    <row r="536">
      <c r="A536" s="8"/>
      <c r="B536" s="8" t="str">
        <f>IF(ISBLANK(A536),"",VLOOKUP(A536,DOI_URL!$B$1:$C$74,2,FALSE()))</f>
        <v/>
      </c>
      <c r="C536" s="8"/>
      <c r="D536" s="8"/>
      <c r="I536" s="8"/>
      <c r="J536" s="8"/>
    </row>
    <row r="537">
      <c r="A537" s="8"/>
      <c r="B537" s="8" t="str">
        <f>IF(ISBLANK(A537),"",VLOOKUP(A537,DOI_URL!$B$1:$C$74,2,FALSE()))</f>
        <v/>
      </c>
      <c r="C537" s="8"/>
      <c r="D537" s="8"/>
      <c r="I537" s="8"/>
      <c r="J537" s="8"/>
    </row>
    <row r="538">
      <c r="A538" s="8"/>
      <c r="B538" s="8" t="str">
        <f>IF(ISBLANK(A538),"",VLOOKUP(A538,DOI_URL!$B$1:$C$74,2,FALSE()))</f>
        <v/>
      </c>
      <c r="C538" s="8"/>
      <c r="D538" s="8"/>
      <c r="I538" s="8"/>
      <c r="J538" s="8"/>
    </row>
    <row r="539">
      <c r="A539" s="8"/>
      <c r="B539" s="8" t="str">
        <f>IF(ISBLANK(A539),"",VLOOKUP(A539,DOI_URL!$B$1:$C$74,2,FALSE()))</f>
        <v/>
      </c>
      <c r="C539" s="8"/>
      <c r="D539" s="8"/>
      <c r="I539" s="8"/>
      <c r="J539" s="8"/>
    </row>
    <row r="540">
      <c r="A540" s="8"/>
      <c r="B540" s="8" t="str">
        <f>IF(ISBLANK(A540),"",VLOOKUP(A540,DOI_URL!$B$1:$C$74,2,FALSE()))</f>
        <v/>
      </c>
      <c r="C540" s="8"/>
      <c r="D540" s="8"/>
      <c r="I540" s="8"/>
      <c r="J540" s="8"/>
    </row>
    <row r="541">
      <c r="A541" s="8"/>
      <c r="B541" s="8" t="str">
        <f>IF(ISBLANK(A541),"",VLOOKUP(A541,DOI_URL!$B$1:$C$74,2,FALSE()))</f>
        <v/>
      </c>
      <c r="C541" s="8"/>
      <c r="D541" s="8"/>
      <c r="I541" s="8"/>
      <c r="J541" s="8"/>
    </row>
    <row r="542">
      <c r="A542" s="8"/>
      <c r="B542" s="8" t="str">
        <f>IF(ISBLANK(A542),"",VLOOKUP(A542,DOI_URL!$B$1:$C$74,2,FALSE()))</f>
        <v/>
      </c>
      <c r="C542" s="8"/>
      <c r="D542" s="8"/>
      <c r="I542" s="8"/>
      <c r="J542" s="8"/>
    </row>
    <row r="543">
      <c r="A543" s="8"/>
      <c r="B543" s="8" t="str">
        <f>IF(ISBLANK(A543),"",VLOOKUP(A543,DOI_URL!$B$1:$C$74,2,FALSE()))</f>
        <v/>
      </c>
      <c r="C543" s="8"/>
      <c r="D543" s="8"/>
      <c r="I543" s="8"/>
      <c r="J543" s="8"/>
    </row>
    <row r="544">
      <c r="A544" s="8"/>
      <c r="B544" s="8" t="str">
        <f>IF(ISBLANK(A544),"",VLOOKUP(A544,DOI_URL!$B$1:$C$74,2,FALSE()))</f>
        <v/>
      </c>
      <c r="C544" s="8"/>
      <c r="D544" s="8"/>
      <c r="I544" s="8"/>
      <c r="J544" s="8"/>
    </row>
    <row r="545">
      <c r="A545" s="8"/>
      <c r="B545" s="8" t="str">
        <f>IF(ISBLANK(A545),"",VLOOKUP(A545,DOI_URL!$B$1:$C$74,2,FALSE()))</f>
        <v/>
      </c>
      <c r="C545" s="8"/>
      <c r="D545" s="8"/>
      <c r="I545" s="8"/>
      <c r="J545" s="8"/>
    </row>
    <row r="546">
      <c r="A546" s="8"/>
      <c r="B546" s="8" t="str">
        <f>IF(ISBLANK(A546),"",VLOOKUP(A546,DOI_URL!$B$1:$C$74,2,FALSE()))</f>
        <v/>
      </c>
      <c r="C546" s="8"/>
      <c r="D546" s="8"/>
      <c r="I546" s="8"/>
      <c r="J546" s="8"/>
    </row>
    <row r="547">
      <c r="A547" s="8"/>
      <c r="B547" s="8" t="str">
        <f>IF(ISBLANK(A547),"",VLOOKUP(A547,DOI_URL!$B$1:$C$74,2,FALSE()))</f>
        <v/>
      </c>
      <c r="C547" s="8"/>
      <c r="D547" s="8"/>
      <c r="I547" s="8"/>
      <c r="J547" s="8"/>
    </row>
    <row r="548">
      <c r="A548" s="8"/>
      <c r="B548" s="8" t="str">
        <f>IF(ISBLANK(A548),"",VLOOKUP(A548,DOI_URL!$B$1:$C$74,2,FALSE()))</f>
        <v/>
      </c>
      <c r="C548" s="8"/>
      <c r="D548" s="8"/>
      <c r="I548" s="8"/>
      <c r="J548" s="8"/>
    </row>
    <row r="549">
      <c r="A549" s="8"/>
      <c r="B549" s="8" t="str">
        <f>IF(ISBLANK(A549),"",VLOOKUP(A549,DOI_URL!$B$1:$C$74,2,FALSE()))</f>
        <v/>
      </c>
      <c r="C549" s="8"/>
      <c r="D549" s="8"/>
      <c r="I549" s="8"/>
      <c r="J549" s="8"/>
    </row>
    <row r="550">
      <c r="A550" s="8"/>
      <c r="B550" s="8" t="str">
        <f>IF(ISBLANK(A550),"",VLOOKUP(A550,DOI_URL!$B$1:$C$74,2,FALSE()))</f>
        <v/>
      </c>
      <c r="C550" s="8"/>
      <c r="D550" s="8"/>
      <c r="I550" s="8"/>
      <c r="J550" s="8"/>
    </row>
    <row r="551">
      <c r="A551" s="8"/>
      <c r="B551" s="8" t="str">
        <f>IF(ISBLANK(A551),"",VLOOKUP(A551,DOI_URL!$B$1:$C$74,2,FALSE()))</f>
        <v/>
      </c>
      <c r="C551" s="8"/>
      <c r="D551" s="8"/>
      <c r="I551" s="8"/>
      <c r="J551" s="8"/>
    </row>
    <row r="552">
      <c r="A552" s="8"/>
      <c r="B552" s="8" t="str">
        <f>IF(ISBLANK(A552),"",VLOOKUP(A552,DOI_URL!$B$1:$C$74,2,FALSE()))</f>
        <v/>
      </c>
      <c r="C552" s="8"/>
      <c r="D552" s="8"/>
      <c r="I552" s="8"/>
      <c r="J552" s="8"/>
    </row>
    <row r="553">
      <c r="A553" s="8"/>
      <c r="B553" s="8" t="str">
        <f>IF(ISBLANK(A553),"",VLOOKUP(A553,DOI_URL!$B$1:$C$74,2,FALSE()))</f>
        <v/>
      </c>
      <c r="C553" s="8"/>
      <c r="D553" s="8"/>
      <c r="I553" s="8"/>
      <c r="J553" s="8"/>
    </row>
    <row r="554">
      <c r="A554" s="8"/>
      <c r="B554" s="8" t="str">
        <f>IF(ISBLANK(A554),"",VLOOKUP(A554,DOI_URL!$B$1:$C$74,2,FALSE()))</f>
        <v/>
      </c>
      <c r="C554" s="8"/>
      <c r="D554" s="8"/>
      <c r="I554" s="8"/>
      <c r="J554" s="8"/>
    </row>
    <row r="555">
      <c r="A555" s="8"/>
      <c r="B555" s="8" t="str">
        <f>IF(ISBLANK(A555),"",VLOOKUP(A555,DOI_URL!$B$1:$C$74,2,FALSE()))</f>
        <v/>
      </c>
      <c r="C555" s="8"/>
      <c r="D555" s="8"/>
      <c r="I555" s="8"/>
      <c r="J555" s="8"/>
    </row>
    <row r="556">
      <c r="A556" s="8"/>
      <c r="B556" s="8" t="str">
        <f>IF(ISBLANK(A556),"",VLOOKUP(A556,DOI_URL!$B$1:$C$74,2,FALSE()))</f>
        <v/>
      </c>
      <c r="C556" s="8"/>
      <c r="D556" s="8"/>
      <c r="I556" s="8"/>
      <c r="J556" s="8"/>
    </row>
    <row r="557">
      <c r="A557" s="8"/>
      <c r="B557" s="8" t="str">
        <f>IF(ISBLANK(A557),"",VLOOKUP(A557,DOI_URL!$B$1:$C$74,2,FALSE()))</f>
        <v/>
      </c>
      <c r="C557" s="8"/>
      <c r="D557" s="8"/>
      <c r="I557" s="8"/>
      <c r="J557" s="8"/>
    </row>
    <row r="558">
      <c r="A558" s="8"/>
      <c r="B558" s="8" t="str">
        <f>IF(ISBLANK(A558),"",VLOOKUP(A558,DOI_URL!$B$1:$C$74,2,FALSE()))</f>
        <v/>
      </c>
      <c r="C558" s="8"/>
      <c r="D558" s="8"/>
      <c r="I558" s="8"/>
      <c r="J558" s="8"/>
    </row>
    <row r="559">
      <c r="A559" s="8"/>
      <c r="B559" s="8" t="str">
        <f>IF(ISBLANK(A559),"",VLOOKUP(A559,DOI_URL!$B$1:$C$74,2,FALSE()))</f>
        <v/>
      </c>
      <c r="C559" s="8"/>
      <c r="D559" s="8"/>
      <c r="I559" s="8"/>
      <c r="J559" s="8"/>
    </row>
    <row r="560">
      <c r="A560" s="8"/>
      <c r="B560" s="8" t="str">
        <f>IF(ISBLANK(A560),"",VLOOKUP(A560,DOI_URL!$B$1:$C$74,2,FALSE()))</f>
        <v/>
      </c>
      <c r="C560" s="8"/>
      <c r="D560" s="8"/>
      <c r="I560" s="8"/>
      <c r="J560" s="8"/>
    </row>
    <row r="561">
      <c r="A561" s="8"/>
      <c r="B561" s="8" t="str">
        <f>IF(ISBLANK(A561),"",VLOOKUP(A561,DOI_URL!$B$1:$C$74,2,FALSE()))</f>
        <v/>
      </c>
      <c r="C561" s="8"/>
      <c r="D561" s="8"/>
      <c r="I561" s="8"/>
      <c r="J561" s="8"/>
    </row>
    <row r="562">
      <c r="A562" s="8"/>
      <c r="B562" s="8" t="str">
        <f>IF(ISBLANK(A562),"",VLOOKUP(A562,DOI_URL!$B$1:$C$74,2,FALSE()))</f>
        <v/>
      </c>
      <c r="C562" s="8"/>
      <c r="D562" s="8"/>
      <c r="I562" s="8"/>
      <c r="J562" s="8"/>
    </row>
    <row r="563">
      <c r="A563" s="8"/>
      <c r="B563" s="8" t="str">
        <f>IF(ISBLANK(A563),"",VLOOKUP(A563,DOI_URL!$B$1:$C$74,2,FALSE()))</f>
        <v/>
      </c>
      <c r="C563" s="8"/>
      <c r="D563" s="8"/>
      <c r="I563" s="8"/>
      <c r="J563" s="8"/>
    </row>
    <row r="564">
      <c r="A564" s="8"/>
      <c r="B564" s="8" t="str">
        <f>IF(ISBLANK(A564),"",VLOOKUP(A564,DOI_URL!$B$1:$C$74,2,FALSE()))</f>
        <v/>
      </c>
      <c r="C564" s="8"/>
      <c r="D564" s="8"/>
      <c r="I564" s="8"/>
      <c r="J564" s="8"/>
    </row>
    <row r="565">
      <c r="A565" s="8"/>
      <c r="B565" s="8" t="str">
        <f>IF(ISBLANK(A565),"",VLOOKUP(A565,DOI_URL!$B$1:$C$74,2,FALSE()))</f>
        <v/>
      </c>
      <c r="C565" s="8"/>
      <c r="D565" s="8"/>
      <c r="I565" s="8"/>
      <c r="J565" s="8"/>
    </row>
    <row r="566">
      <c r="A566" s="8"/>
      <c r="B566" s="8" t="str">
        <f>IF(ISBLANK(A566),"",VLOOKUP(A566,DOI_URL!$B$1:$C$74,2,FALSE()))</f>
        <v/>
      </c>
      <c r="C566" s="8"/>
      <c r="D566" s="8"/>
      <c r="I566" s="8"/>
      <c r="J566" s="8"/>
    </row>
    <row r="567">
      <c r="A567" s="8"/>
      <c r="B567" s="8" t="str">
        <f>IF(ISBLANK(A567),"",VLOOKUP(A567,DOI_URL!$B$1:$C$74,2,FALSE()))</f>
        <v/>
      </c>
      <c r="C567" s="8"/>
      <c r="D567" s="8"/>
      <c r="I567" s="8"/>
      <c r="J567" s="8"/>
    </row>
    <row r="568">
      <c r="A568" s="8"/>
      <c r="B568" s="8" t="str">
        <f>IF(ISBLANK(A568),"",VLOOKUP(A568,DOI_URL!$B$1:$C$74,2,FALSE()))</f>
        <v/>
      </c>
      <c r="C568" s="8"/>
      <c r="D568" s="8"/>
      <c r="I568" s="8"/>
      <c r="J568" s="8"/>
    </row>
    <row r="569">
      <c r="A569" s="8"/>
      <c r="B569" s="8" t="str">
        <f>IF(ISBLANK(A569),"",VLOOKUP(A569,DOI_URL!$B$1:$C$74,2,FALSE()))</f>
        <v/>
      </c>
      <c r="C569" s="8"/>
      <c r="D569" s="8"/>
      <c r="I569" s="8"/>
      <c r="J569" s="8"/>
    </row>
    <row r="570">
      <c r="A570" s="8"/>
      <c r="B570" s="8" t="str">
        <f>IF(ISBLANK(A570),"",VLOOKUP(A570,DOI_URL!$B$1:$C$74,2,FALSE()))</f>
        <v/>
      </c>
      <c r="C570" s="8"/>
      <c r="D570" s="8"/>
      <c r="I570" s="8"/>
      <c r="J570" s="8"/>
    </row>
    <row r="571">
      <c r="A571" s="8"/>
      <c r="B571" s="8" t="str">
        <f>IF(ISBLANK(A571),"",VLOOKUP(A571,DOI_URL!$B$1:$C$74,2,FALSE()))</f>
        <v/>
      </c>
      <c r="C571" s="8"/>
      <c r="D571" s="8"/>
      <c r="I571" s="8"/>
      <c r="J571" s="8"/>
    </row>
    <row r="572">
      <c r="A572" s="8"/>
      <c r="B572" s="8" t="str">
        <f>IF(ISBLANK(A572),"",VLOOKUP(A572,DOI_URL!$B$1:$C$74,2,FALSE()))</f>
        <v/>
      </c>
      <c r="C572" s="8"/>
      <c r="D572" s="8"/>
      <c r="I572" s="8"/>
      <c r="J572" s="8"/>
    </row>
    <row r="573">
      <c r="A573" s="8"/>
      <c r="B573" s="8" t="str">
        <f>IF(ISBLANK(A573),"",VLOOKUP(A573,DOI_URL!$B$1:$C$74,2,FALSE()))</f>
        <v/>
      </c>
      <c r="C573" s="8"/>
      <c r="D573" s="8"/>
      <c r="I573" s="8"/>
      <c r="J573" s="8"/>
    </row>
    <row r="574">
      <c r="A574" s="8"/>
      <c r="B574" s="8" t="str">
        <f>IF(ISBLANK(A574),"",VLOOKUP(A574,DOI_URL!$B$1:$C$74,2,FALSE()))</f>
        <v/>
      </c>
      <c r="C574" s="8"/>
      <c r="D574" s="8"/>
      <c r="I574" s="8"/>
      <c r="J574" s="8"/>
    </row>
    <row r="575">
      <c r="A575" s="8"/>
      <c r="B575" s="8" t="str">
        <f>IF(ISBLANK(A575),"",VLOOKUP(A575,DOI_URL!$B$1:$C$74,2,FALSE()))</f>
        <v/>
      </c>
      <c r="C575" s="8"/>
      <c r="D575" s="8"/>
      <c r="I575" s="8"/>
      <c r="J575" s="8"/>
    </row>
    <row r="576">
      <c r="A576" s="8"/>
      <c r="B576" s="8" t="str">
        <f>IF(ISBLANK(A576),"",VLOOKUP(A576,DOI_URL!$B$1:$C$74,2,FALSE()))</f>
        <v/>
      </c>
      <c r="C576" s="8"/>
      <c r="D576" s="8"/>
      <c r="I576" s="8"/>
      <c r="J576" s="8"/>
    </row>
    <row r="577">
      <c r="A577" s="8"/>
      <c r="B577" s="8" t="str">
        <f>IF(ISBLANK(A577),"",VLOOKUP(A577,DOI_URL!$B$1:$C$74,2,FALSE()))</f>
        <v/>
      </c>
      <c r="C577" s="8"/>
      <c r="D577" s="8"/>
      <c r="I577" s="8"/>
      <c r="J577" s="8"/>
    </row>
    <row r="578">
      <c r="A578" s="8"/>
      <c r="B578" s="8" t="str">
        <f>IF(ISBLANK(A578),"",VLOOKUP(A578,DOI_URL!$B$1:$C$74,2,FALSE()))</f>
        <v/>
      </c>
      <c r="C578" s="8"/>
      <c r="D578" s="8"/>
      <c r="I578" s="8"/>
      <c r="J578" s="8"/>
    </row>
    <row r="579">
      <c r="A579" s="8"/>
      <c r="B579" s="8" t="str">
        <f>IF(ISBLANK(A579),"",VLOOKUP(A579,DOI_URL!$B$1:$C$74,2,FALSE()))</f>
        <v/>
      </c>
      <c r="C579" s="8"/>
      <c r="D579" s="8"/>
      <c r="I579" s="8"/>
      <c r="J579" s="8"/>
    </row>
    <row r="580">
      <c r="A580" s="8"/>
      <c r="B580" s="8" t="str">
        <f>IF(ISBLANK(A580),"",VLOOKUP(A580,DOI_URL!$B$1:$C$74,2,FALSE()))</f>
        <v/>
      </c>
      <c r="C580" s="8"/>
      <c r="D580" s="8"/>
      <c r="I580" s="8"/>
      <c r="J580" s="8"/>
    </row>
    <row r="581">
      <c r="A581" s="8"/>
      <c r="B581" s="8" t="str">
        <f>IF(ISBLANK(A581),"",VLOOKUP(A581,DOI_URL!$B$1:$C$74,2,FALSE()))</f>
        <v/>
      </c>
      <c r="C581" s="8"/>
      <c r="D581" s="8"/>
      <c r="I581" s="8"/>
      <c r="J581" s="8"/>
    </row>
    <row r="582">
      <c r="A582" s="8"/>
      <c r="B582" s="8" t="str">
        <f>IF(ISBLANK(A582),"",VLOOKUP(A582,DOI_URL!$B$1:$C$74,2,FALSE()))</f>
        <v/>
      </c>
      <c r="C582" s="8"/>
      <c r="D582" s="8"/>
      <c r="I582" s="8"/>
      <c r="J582" s="8"/>
    </row>
    <row r="583">
      <c r="A583" s="8"/>
      <c r="B583" s="8" t="str">
        <f>IF(ISBLANK(A583),"",VLOOKUP(A583,DOI_URL!$B$1:$C$74,2,FALSE()))</f>
        <v/>
      </c>
      <c r="C583" s="8"/>
      <c r="D583" s="8"/>
      <c r="I583" s="8"/>
      <c r="J583" s="8"/>
    </row>
    <row r="584">
      <c r="A584" s="8"/>
      <c r="B584" s="8" t="str">
        <f>IF(ISBLANK(A584),"",VLOOKUP(A584,DOI_URL!$B$1:$C$74,2,FALSE()))</f>
        <v/>
      </c>
      <c r="C584" s="8"/>
      <c r="D584" s="8"/>
      <c r="I584" s="8"/>
      <c r="J584" s="8"/>
    </row>
    <row r="585">
      <c r="A585" s="8"/>
      <c r="B585" s="8" t="str">
        <f>IF(ISBLANK(A585),"",VLOOKUP(A585,DOI_URL!$B$1:$C$74,2,FALSE()))</f>
        <v/>
      </c>
      <c r="C585" s="8"/>
      <c r="D585" s="8"/>
      <c r="I585" s="8"/>
      <c r="J585" s="8"/>
    </row>
    <row r="586">
      <c r="A586" s="8"/>
      <c r="B586" s="8" t="str">
        <f>IF(ISBLANK(A586),"",VLOOKUP(A586,DOI_URL!$B$1:$C$74,2,FALSE()))</f>
        <v/>
      </c>
      <c r="C586" s="8"/>
      <c r="D586" s="8"/>
      <c r="I586" s="8"/>
      <c r="J586" s="8"/>
    </row>
    <row r="587">
      <c r="A587" s="8"/>
      <c r="B587" s="8" t="str">
        <f>IF(ISBLANK(A587),"",VLOOKUP(A587,DOI_URL!$B$1:$C$74,2,FALSE()))</f>
        <v/>
      </c>
      <c r="C587" s="8"/>
      <c r="D587" s="8"/>
      <c r="I587" s="8"/>
      <c r="J587" s="8"/>
    </row>
    <row r="588">
      <c r="A588" s="8"/>
      <c r="B588" s="8" t="str">
        <f>IF(ISBLANK(A588),"",VLOOKUP(A588,DOI_URL!$B$1:$C$74,2,FALSE()))</f>
        <v/>
      </c>
      <c r="C588" s="8"/>
      <c r="D588" s="8"/>
      <c r="I588" s="8"/>
      <c r="J588" s="8"/>
    </row>
    <row r="589">
      <c r="A589" s="8"/>
      <c r="B589" s="8" t="str">
        <f>IF(ISBLANK(A589),"",VLOOKUP(A589,DOI_URL!$B$1:$C$74,2,FALSE()))</f>
        <v/>
      </c>
      <c r="C589" s="8"/>
      <c r="D589" s="8"/>
      <c r="I589" s="8"/>
      <c r="J589" s="8"/>
    </row>
    <row r="590">
      <c r="A590" s="8"/>
      <c r="B590" s="8" t="str">
        <f>IF(ISBLANK(A590),"",VLOOKUP(A590,DOI_URL!$B$1:$C$74,2,FALSE()))</f>
        <v/>
      </c>
      <c r="C590" s="8"/>
      <c r="D590" s="8"/>
      <c r="I590" s="8"/>
      <c r="J590" s="8"/>
    </row>
    <row r="591">
      <c r="A591" s="8"/>
      <c r="B591" s="8" t="str">
        <f>IF(ISBLANK(A591),"",VLOOKUP(A591,DOI_URL!$B$1:$C$74,2,FALSE()))</f>
        <v/>
      </c>
      <c r="C591" s="8"/>
      <c r="D591" s="8"/>
      <c r="I591" s="8"/>
      <c r="J591" s="8"/>
    </row>
    <row r="592">
      <c r="A592" s="8"/>
      <c r="B592" s="8" t="str">
        <f>IF(ISBLANK(A592),"",VLOOKUP(A592,DOI_URL!$B$1:$C$74,2,FALSE()))</f>
        <v/>
      </c>
      <c r="C592" s="8"/>
      <c r="D592" s="8"/>
      <c r="I592" s="8"/>
      <c r="J592" s="8"/>
    </row>
    <row r="593">
      <c r="A593" s="8"/>
      <c r="B593" s="8" t="str">
        <f>IF(ISBLANK(A593),"",VLOOKUP(A593,DOI_URL!$B$1:$C$74,2,FALSE()))</f>
        <v/>
      </c>
      <c r="C593" s="8"/>
      <c r="D593" s="8"/>
      <c r="I593" s="8"/>
      <c r="J593" s="8"/>
    </row>
    <row r="594">
      <c r="A594" s="8"/>
      <c r="B594" s="8" t="str">
        <f>IF(ISBLANK(A594),"",VLOOKUP(A594,DOI_URL!$B$1:$C$74,2,FALSE()))</f>
        <v/>
      </c>
      <c r="C594" s="8"/>
      <c r="D594" s="8"/>
      <c r="I594" s="8"/>
      <c r="J594" s="8"/>
    </row>
    <row r="595">
      <c r="A595" s="8"/>
      <c r="B595" s="8" t="str">
        <f>IF(ISBLANK(A595),"",VLOOKUP(A595,DOI_URL!$B$1:$C$74,2,FALSE()))</f>
        <v/>
      </c>
      <c r="C595" s="8"/>
      <c r="D595" s="8"/>
      <c r="I595" s="8"/>
      <c r="J595" s="8"/>
    </row>
    <row r="596">
      <c r="A596" s="8"/>
      <c r="B596" s="8" t="str">
        <f>IF(ISBLANK(A596),"",VLOOKUP(A596,DOI_URL!$B$1:$C$74,2,FALSE()))</f>
        <v/>
      </c>
      <c r="C596" s="8"/>
      <c r="D596" s="8"/>
      <c r="I596" s="8"/>
      <c r="J596" s="8"/>
    </row>
    <row r="597">
      <c r="A597" s="8"/>
      <c r="B597" s="8" t="str">
        <f>IF(ISBLANK(A597),"",VLOOKUP(A597,DOI_URL!$B$1:$C$74,2,FALSE()))</f>
        <v/>
      </c>
      <c r="C597" s="8"/>
      <c r="D597" s="8"/>
      <c r="I597" s="8"/>
      <c r="J597" s="8"/>
    </row>
    <row r="598">
      <c r="A598" s="8"/>
      <c r="B598" s="8" t="str">
        <f>IF(ISBLANK(A598),"",VLOOKUP(A598,DOI_URL!$B$1:$C$74,2,FALSE()))</f>
        <v/>
      </c>
      <c r="C598" s="8"/>
      <c r="D598" s="8"/>
      <c r="I598" s="8"/>
      <c r="J598" s="8"/>
    </row>
    <row r="599">
      <c r="A599" s="8"/>
      <c r="B599" s="8" t="str">
        <f>IF(ISBLANK(A599),"",VLOOKUP(A599,DOI_URL!$B$1:$C$74,2,FALSE()))</f>
        <v/>
      </c>
      <c r="C599" s="8"/>
      <c r="D599" s="8"/>
      <c r="I599" s="8"/>
      <c r="J599" s="8"/>
    </row>
    <row r="600">
      <c r="A600" s="8"/>
      <c r="B600" s="8" t="str">
        <f>IF(ISBLANK(A600),"",VLOOKUP(A600,DOI_URL!$B$1:$C$74,2,FALSE()))</f>
        <v/>
      </c>
      <c r="C600" s="8"/>
      <c r="D600" s="8"/>
      <c r="I600" s="8"/>
      <c r="J600" s="8"/>
    </row>
    <row r="601">
      <c r="A601" s="8"/>
      <c r="B601" s="8" t="str">
        <f>IF(ISBLANK(A601),"",VLOOKUP(A601,DOI_URL!$B$1:$C$74,2,FALSE()))</f>
        <v/>
      </c>
      <c r="C601" s="8"/>
      <c r="D601" s="8"/>
      <c r="I601" s="8"/>
      <c r="J601" s="8"/>
    </row>
    <row r="602">
      <c r="A602" s="8"/>
      <c r="B602" s="8" t="str">
        <f>IF(ISBLANK(A602),"",VLOOKUP(A602,DOI_URL!$B$1:$C$74,2,FALSE()))</f>
        <v/>
      </c>
      <c r="C602" s="8"/>
      <c r="D602" s="8"/>
      <c r="I602" s="8"/>
      <c r="J602" s="8"/>
    </row>
    <row r="603">
      <c r="A603" s="8"/>
      <c r="B603" s="8" t="str">
        <f>IF(ISBLANK(A603),"",VLOOKUP(A603,DOI_URL!$B$1:$C$74,2,FALSE()))</f>
        <v/>
      </c>
      <c r="C603" s="8"/>
      <c r="D603" s="8"/>
      <c r="I603" s="8"/>
      <c r="J603" s="8"/>
    </row>
    <row r="604">
      <c r="A604" s="8"/>
      <c r="B604" s="8" t="str">
        <f>IF(ISBLANK(A604),"",VLOOKUP(A604,DOI_URL!$B$1:$C$74,2,FALSE()))</f>
        <v/>
      </c>
      <c r="C604" s="8"/>
      <c r="D604" s="8"/>
      <c r="I604" s="8"/>
      <c r="J604" s="8"/>
    </row>
    <row r="605">
      <c r="A605" s="8"/>
      <c r="B605" s="8" t="str">
        <f>IF(ISBLANK(A605),"",VLOOKUP(A605,DOI_URL!$B$1:$C$74,2,FALSE()))</f>
        <v/>
      </c>
      <c r="C605" s="8"/>
      <c r="D605" s="8"/>
      <c r="I605" s="8"/>
      <c r="J605" s="8"/>
    </row>
    <row r="606">
      <c r="A606" s="8"/>
      <c r="B606" s="8" t="str">
        <f>IF(ISBLANK(A606),"",VLOOKUP(A606,DOI_URL!$B$1:$C$74,2,FALSE()))</f>
        <v/>
      </c>
      <c r="C606" s="8"/>
      <c r="D606" s="8"/>
      <c r="I606" s="8"/>
      <c r="J606" s="8"/>
    </row>
    <row r="607">
      <c r="A607" s="8"/>
      <c r="B607" s="8" t="str">
        <f>IF(ISBLANK(A607),"",VLOOKUP(A607,DOI_URL!$B$1:$C$74,2,FALSE()))</f>
        <v/>
      </c>
      <c r="C607" s="8"/>
      <c r="D607" s="8"/>
      <c r="I607" s="8"/>
      <c r="J607" s="8"/>
    </row>
    <row r="608">
      <c r="A608" s="8"/>
      <c r="B608" s="8" t="str">
        <f>IF(ISBLANK(A608),"",VLOOKUP(A608,DOI_URL!$B$1:$C$74,2,FALSE()))</f>
        <v/>
      </c>
      <c r="C608" s="8"/>
      <c r="D608" s="8"/>
      <c r="I608" s="8"/>
      <c r="J608" s="8"/>
    </row>
    <row r="609">
      <c r="A609" s="8"/>
      <c r="B609" s="8" t="str">
        <f>IF(ISBLANK(A609),"",VLOOKUP(A609,DOI_URL!$B$1:$C$74,2,FALSE()))</f>
        <v/>
      </c>
      <c r="C609" s="8"/>
      <c r="D609" s="8"/>
      <c r="I609" s="8"/>
      <c r="J609" s="8"/>
    </row>
    <row r="610">
      <c r="A610" s="8"/>
      <c r="B610" s="8" t="str">
        <f>IF(ISBLANK(A610),"",VLOOKUP(A610,DOI_URL!$B$1:$C$74,2,FALSE()))</f>
        <v/>
      </c>
      <c r="C610" s="8"/>
      <c r="D610" s="8"/>
      <c r="I610" s="8"/>
      <c r="J610" s="8"/>
    </row>
    <row r="611">
      <c r="A611" s="8"/>
      <c r="B611" s="8" t="str">
        <f>IF(ISBLANK(A611),"",VLOOKUP(A611,DOI_URL!$B$1:$C$74,2,FALSE()))</f>
        <v/>
      </c>
      <c r="C611" s="8"/>
      <c r="D611" s="8"/>
      <c r="I611" s="8"/>
      <c r="J611" s="8"/>
    </row>
    <row r="612">
      <c r="A612" s="8"/>
      <c r="B612" s="8" t="str">
        <f>IF(ISBLANK(A612),"",VLOOKUP(A612,DOI_URL!$B$1:$C$74,2,FALSE()))</f>
        <v/>
      </c>
      <c r="C612" s="8"/>
      <c r="D612" s="8"/>
      <c r="I612" s="8"/>
      <c r="J612" s="8"/>
    </row>
    <row r="613">
      <c r="A613" s="8"/>
      <c r="B613" s="8" t="str">
        <f>IF(ISBLANK(A613),"",VLOOKUP(A613,DOI_URL!$B$1:$C$74,2,FALSE()))</f>
        <v/>
      </c>
      <c r="C613" s="8"/>
      <c r="D613" s="8"/>
      <c r="I613" s="8"/>
      <c r="J613" s="8"/>
    </row>
    <row r="614">
      <c r="A614" s="8"/>
      <c r="B614" s="8" t="str">
        <f>IF(ISBLANK(A614),"",VLOOKUP(A614,DOI_URL!$B$1:$C$74,2,FALSE()))</f>
        <v/>
      </c>
      <c r="C614" s="8"/>
      <c r="D614" s="8"/>
      <c r="I614" s="8"/>
      <c r="J614" s="8"/>
    </row>
    <row r="615">
      <c r="A615" s="8"/>
      <c r="B615" s="8" t="str">
        <f>IF(ISBLANK(A615),"",VLOOKUP(A615,DOI_URL!$B$1:$C$74,2,FALSE()))</f>
        <v/>
      </c>
      <c r="C615" s="8"/>
      <c r="D615" s="8"/>
      <c r="I615" s="8"/>
      <c r="J615" s="8"/>
    </row>
    <row r="616">
      <c r="A616" s="8"/>
      <c r="B616" s="8" t="str">
        <f>IF(ISBLANK(A616),"",VLOOKUP(A616,DOI_URL!$B$1:$C$74,2,FALSE()))</f>
        <v/>
      </c>
      <c r="C616" s="8"/>
      <c r="D616" s="8"/>
      <c r="I616" s="8"/>
      <c r="J616" s="8"/>
    </row>
    <row r="617">
      <c r="A617" s="8"/>
      <c r="B617" s="8" t="str">
        <f>IF(ISBLANK(A617),"",VLOOKUP(A617,DOI_URL!$B$1:$C$74,2,FALSE()))</f>
        <v/>
      </c>
      <c r="C617" s="8"/>
      <c r="D617" s="8"/>
      <c r="I617" s="8"/>
      <c r="J617" s="8"/>
    </row>
    <row r="618">
      <c r="A618" s="8"/>
      <c r="B618" s="8" t="str">
        <f>IF(ISBLANK(A618),"",VLOOKUP(A618,DOI_URL!$B$1:$C$74,2,FALSE()))</f>
        <v/>
      </c>
      <c r="C618" s="8"/>
      <c r="D618" s="8"/>
      <c r="I618" s="8"/>
      <c r="J618" s="8"/>
    </row>
    <row r="619">
      <c r="A619" s="8"/>
      <c r="B619" s="8" t="str">
        <f>IF(ISBLANK(A619),"",VLOOKUP(A619,DOI_URL!$B$1:$C$74,2,FALSE()))</f>
        <v/>
      </c>
      <c r="C619" s="8"/>
      <c r="D619" s="8"/>
      <c r="I619" s="8"/>
      <c r="J619" s="8"/>
    </row>
    <row r="620">
      <c r="A620" s="8"/>
      <c r="B620" s="8" t="str">
        <f>IF(ISBLANK(A620),"",VLOOKUP(A620,DOI_URL!$B$1:$C$74,2,FALSE()))</f>
        <v/>
      </c>
      <c r="C620" s="8"/>
      <c r="D620" s="8"/>
      <c r="I620" s="8"/>
      <c r="J620" s="8"/>
    </row>
    <row r="621">
      <c r="A621" s="8"/>
      <c r="B621" s="8" t="str">
        <f>IF(ISBLANK(A621),"",VLOOKUP(A621,DOI_URL!$B$1:$C$74,2,FALSE()))</f>
        <v/>
      </c>
      <c r="C621" s="8"/>
      <c r="D621" s="8"/>
      <c r="I621" s="8"/>
      <c r="J621" s="8"/>
    </row>
    <row r="622">
      <c r="A622" s="8"/>
      <c r="B622" s="8" t="str">
        <f>IF(ISBLANK(A622),"",VLOOKUP(A622,DOI_URL!$B$1:$C$74,2,FALSE()))</f>
        <v/>
      </c>
      <c r="C622" s="8"/>
      <c r="D622" s="8"/>
      <c r="I622" s="8"/>
      <c r="J622" s="8"/>
    </row>
    <row r="623">
      <c r="A623" s="8"/>
      <c r="B623" s="8" t="str">
        <f>IF(ISBLANK(A623),"",VLOOKUP(A623,DOI_URL!$B$1:$C$74,2,FALSE()))</f>
        <v/>
      </c>
      <c r="C623" s="8"/>
      <c r="D623" s="8"/>
      <c r="I623" s="8"/>
      <c r="J623" s="8"/>
    </row>
    <row r="624">
      <c r="A624" s="8"/>
      <c r="B624" s="8" t="str">
        <f>IF(ISBLANK(A624),"",VLOOKUP(A624,DOI_URL!$B$1:$C$74,2,FALSE()))</f>
        <v/>
      </c>
      <c r="C624" s="8"/>
      <c r="D624" s="8"/>
      <c r="I624" s="8"/>
      <c r="J624" s="8"/>
    </row>
    <row r="625">
      <c r="A625" s="8"/>
      <c r="B625" s="8" t="str">
        <f>IF(ISBLANK(A625),"",VLOOKUP(A625,DOI_URL!$B$1:$C$74,2,FALSE()))</f>
        <v/>
      </c>
      <c r="C625" s="8"/>
      <c r="D625" s="8"/>
      <c r="I625" s="8"/>
      <c r="J625" s="8"/>
    </row>
    <row r="626">
      <c r="A626" s="8"/>
      <c r="B626" s="8" t="str">
        <f>IF(ISBLANK(A626),"",VLOOKUP(A626,DOI_URL!$B$1:$C$74,2,FALSE()))</f>
        <v/>
      </c>
      <c r="C626" s="8"/>
      <c r="D626" s="8"/>
      <c r="I626" s="8"/>
      <c r="J626" s="8"/>
    </row>
    <row r="627">
      <c r="A627" s="8"/>
      <c r="B627" s="8" t="str">
        <f>IF(ISBLANK(A627),"",VLOOKUP(A627,DOI_URL!$B$1:$C$74,2,FALSE()))</f>
        <v/>
      </c>
      <c r="C627" s="8"/>
      <c r="D627" s="8"/>
      <c r="I627" s="8"/>
      <c r="J627" s="8"/>
    </row>
    <row r="628">
      <c r="A628" s="8"/>
      <c r="B628" s="8" t="str">
        <f>IF(ISBLANK(A628),"",VLOOKUP(A628,DOI_URL!$B$1:$C$74,2,FALSE()))</f>
        <v/>
      </c>
      <c r="C628" s="8"/>
      <c r="D628" s="8"/>
      <c r="I628" s="8"/>
      <c r="J628" s="8"/>
    </row>
    <row r="629">
      <c r="A629" s="8"/>
      <c r="B629" s="8" t="str">
        <f>IF(ISBLANK(A629),"",VLOOKUP(A629,DOI_URL!$B$1:$C$74,2,FALSE()))</f>
        <v/>
      </c>
      <c r="C629" s="8"/>
      <c r="D629" s="8"/>
      <c r="I629" s="8"/>
      <c r="J629" s="8"/>
    </row>
    <row r="630">
      <c r="A630" s="8"/>
      <c r="B630" s="8" t="str">
        <f>IF(ISBLANK(A630),"",VLOOKUP(A630,DOI_URL!$B$1:$C$74,2,FALSE()))</f>
        <v/>
      </c>
      <c r="C630" s="8"/>
      <c r="D630" s="8"/>
      <c r="I630" s="8"/>
      <c r="J630" s="8"/>
    </row>
    <row r="631">
      <c r="A631" s="8"/>
      <c r="B631" s="8" t="str">
        <f>IF(ISBLANK(A631),"",VLOOKUP(A631,DOI_URL!$B$1:$C$74,2,FALSE()))</f>
        <v/>
      </c>
      <c r="C631" s="8"/>
      <c r="D631" s="8"/>
      <c r="I631" s="8"/>
      <c r="J631" s="8"/>
    </row>
    <row r="632">
      <c r="A632" s="8"/>
      <c r="B632" s="8" t="str">
        <f>IF(ISBLANK(A632),"",VLOOKUP(A632,DOI_URL!$B$1:$C$74,2,FALSE()))</f>
        <v/>
      </c>
      <c r="C632" s="8"/>
      <c r="D632" s="8"/>
      <c r="I632" s="8"/>
      <c r="J632" s="8"/>
    </row>
    <row r="633">
      <c r="A633" s="8"/>
      <c r="B633" s="8" t="str">
        <f>IF(ISBLANK(A633),"",VLOOKUP(A633,DOI_URL!$B$1:$C$74,2,FALSE()))</f>
        <v/>
      </c>
      <c r="C633" s="8"/>
      <c r="D633" s="8"/>
      <c r="I633" s="8"/>
      <c r="J633" s="8"/>
    </row>
    <row r="634">
      <c r="A634" s="8"/>
      <c r="B634" s="8" t="str">
        <f>IF(ISBLANK(A634),"",VLOOKUP(A634,DOI_URL!$B$1:$C$74,2,FALSE()))</f>
        <v/>
      </c>
      <c r="C634" s="8"/>
      <c r="D634" s="8"/>
      <c r="I634" s="8"/>
      <c r="J634" s="8"/>
    </row>
    <row r="635">
      <c r="A635" s="8"/>
      <c r="B635" s="8" t="str">
        <f>IF(ISBLANK(A635),"",VLOOKUP(A635,DOI_URL!$B$1:$C$74,2,FALSE()))</f>
        <v/>
      </c>
      <c r="C635" s="8"/>
      <c r="D635" s="8"/>
      <c r="I635" s="8"/>
      <c r="J635" s="8"/>
    </row>
    <row r="636">
      <c r="A636" s="8"/>
      <c r="B636" s="8" t="str">
        <f>IF(ISBLANK(A636),"",VLOOKUP(A636,DOI_URL!$B$1:$C$74,2,FALSE()))</f>
        <v/>
      </c>
      <c r="C636" s="8"/>
      <c r="D636" s="8"/>
      <c r="I636" s="8"/>
      <c r="J636" s="8"/>
    </row>
    <row r="637">
      <c r="A637" s="8"/>
      <c r="B637" s="8" t="str">
        <f>IF(ISBLANK(A637),"",VLOOKUP(A637,DOI_URL!$B$1:$C$74,2,FALSE()))</f>
        <v/>
      </c>
      <c r="C637" s="8"/>
      <c r="D637" s="8"/>
      <c r="I637" s="8"/>
      <c r="J637" s="8"/>
    </row>
    <row r="638">
      <c r="A638" s="8"/>
      <c r="B638" s="8" t="str">
        <f>IF(ISBLANK(A638),"",VLOOKUP(A638,DOI_URL!$B$1:$C$74,2,FALSE()))</f>
        <v/>
      </c>
      <c r="C638" s="8"/>
      <c r="D638" s="8"/>
      <c r="I638" s="8"/>
      <c r="J638" s="8"/>
    </row>
    <row r="639">
      <c r="A639" s="8"/>
      <c r="B639" s="8" t="str">
        <f>IF(ISBLANK(A639),"",VLOOKUP(A639,DOI_URL!$B$1:$C$74,2,FALSE()))</f>
        <v/>
      </c>
      <c r="C639" s="8"/>
      <c r="D639" s="8"/>
      <c r="I639" s="8"/>
      <c r="J639" s="8"/>
    </row>
    <row r="640">
      <c r="A640" s="8"/>
      <c r="B640" s="8" t="str">
        <f>IF(ISBLANK(A640),"",VLOOKUP(A640,DOI_URL!$B$1:$C$74,2,FALSE()))</f>
        <v/>
      </c>
      <c r="C640" s="8"/>
      <c r="D640" s="8"/>
      <c r="I640" s="8"/>
      <c r="J640" s="8"/>
    </row>
    <row r="641">
      <c r="A641" s="8"/>
      <c r="B641" s="8" t="str">
        <f>IF(ISBLANK(A641),"",VLOOKUP(A641,DOI_URL!$B$1:$C$74,2,FALSE()))</f>
        <v/>
      </c>
      <c r="C641" s="8"/>
      <c r="D641" s="8"/>
      <c r="I641" s="8"/>
      <c r="J641" s="8"/>
    </row>
    <row r="642">
      <c r="A642" s="8"/>
      <c r="B642" s="8" t="str">
        <f>IF(ISBLANK(A642),"",VLOOKUP(A642,DOI_URL!$B$1:$C$74,2,FALSE()))</f>
        <v/>
      </c>
      <c r="C642" s="8"/>
      <c r="D642" s="8"/>
      <c r="I642" s="8"/>
      <c r="J642" s="8"/>
    </row>
    <row r="643">
      <c r="A643" s="8"/>
      <c r="B643" s="8" t="str">
        <f>IF(ISBLANK(A643),"",VLOOKUP(A643,DOI_URL!$B$1:$C$74,2,FALSE()))</f>
        <v/>
      </c>
      <c r="C643" s="8"/>
      <c r="D643" s="8"/>
      <c r="I643" s="8"/>
      <c r="J643" s="8"/>
    </row>
    <row r="644">
      <c r="A644" s="8"/>
      <c r="B644" s="8" t="str">
        <f>IF(ISBLANK(A644),"",VLOOKUP(A644,DOI_URL!$B$1:$C$74,2,FALSE()))</f>
        <v/>
      </c>
      <c r="C644" s="8"/>
      <c r="D644" s="8"/>
      <c r="I644" s="8"/>
      <c r="J644" s="8"/>
    </row>
    <row r="645">
      <c r="A645" s="8"/>
      <c r="B645" s="8" t="str">
        <f>IF(ISBLANK(A645),"",VLOOKUP(A645,DOI_URL!$B$1:$C$74,2,FALSE()))</f>
        <v/>
      </c>
      <c r="C645" s="8"/>
      <c r="D645" s="8"/>
      <c r="I645" s="8"/>
      <c r="J645" s="8"/>
    </row>
    <row r="646">
      <c r="A646" s="8"/>
      <c r="B646" s="8" t="str">
        <f>IF(ISBLANK(A646),"",VLOOKUP(A646,DOI_URL!$B$1:$C$74,2,FALSE()))</f>
        <v/>
      </c>
      <c r="C646" s="8"/>
      <c r="D646" s="8"/>
      <c r="I646" s="8"/>
      <c r="J646" s="8"/>
    </row>
    <row r="647">
      <c r="A647" s="8"/>
      <c r="B647" s="8" t="str">
        <f>IF(ISBLANK(A647),"",VLOOKUP(A647,DOI_URL!$B$1:$C$74,2,FALSE()))</f>
        <v/>
      </c>
      <c r="C647" s="8"/>
      <c r="D647" s="8"/>
      <c r="I647" s="8"/>
      <c r="J647" s="8"/>
    </row>
    <row r="648">
      <c r="A648" s="8"/>
      <c r="B648" s="8" t="str">
        <f>IF(ISBLANK(A648),"",VLOOKUP(A648,DOI_URL!$B$1:$C$74,2,FALSE()))</f>
        <v/>
      </c>
      <c r="C648" s="8"/>
      <c r="D648" s="8"/>
      <c r="I648" s="8"/>
      <c r="J648" s="8"/>
    </row>
    <row r="649">
      <c r="A649" s="8"/>
      <c r="B649" s="8" t="str">
        <f>IF(ISBLANK(A649),"",VLOOKUP(A649,DOI_URL!$B$1:$C$74,2,FALSE()))</f>
        <v/>
      </c>
      <c r="C649" s="8"/>
      <c r="D649" s="8"/>
      <c r="I649" s="8"/>
      <c r="J649" s="8"/>
    </row>
    <row r="650">
      <c r="A650" s="8"/>
      <c r="B650" s="8" t="str">
        <f>IF(ISBLANK(A650),"",VLOOKUP(A650,DOI_URL!$B$1:$C$74,2,FALSE()))</f>
        <v/>
      </c>
      <c r="C650" s="8"/>
      <c r="D650" s="8"/>
      <c r="I650" s="8"/>
      <c r="J650" s="8"/>
    </row>
    <row r="651">
      <c r="A651" s="8"/>
      <c r="B651" s="8" t="str">
        <f>IF(ISBLANK(A651),"",VLOOKUP(A651,DOI_URL!$B$1:$C$74,2,FALSE()))</f>
        <v/>
      </c>
      <c r="C651" s="8"/>
      <c r="D651" s="8"/>
      <c r="I651" s="8"/>
      <c r="J651" s="8"/>
    </row>
    <row r="652">
      <c r="A652" s="8"/>
      <c r="B652" s="8" t="str">
        <f>IF(ISBLANK(A652),"",VLOOKUP(A652,DOI_URL!$B$1:$C$74,2,FALSE()))</f>
        <v/>
      </c>
      <c r="C652" s="8"/>
      <c r="D652" s="8"/>
      <c r="I652" s="8"/>
      <c r="J652" s="8"/>
    </row>
    <row r="653">
      <c r="A653" s="8"/>
      <c r="B653" s="8" t="str">
        <f>IF(ISBLANK(A653),"",VLOOKUP(A653,DOI_URL!$B$1:$C$74,2,FALSE()))</f>
        <v/>
      </c>
      <c r="C653" s="8"/>
      <c r="D653" s="8"/>
      <c r="I653" s="8"/>
      <c r="J653" s="8"/>
    </row>
    <row r="654">
      <c r="A654" s="8"/>
      <c r="B654" s="8" t="str">
        <f>IF(ISBLANK(A654),"",VLOOKUP(A654,DOI_URL!$B$1:$C$74,2,FALSE()))</f>
        <v/>
      </c>
      <c r="C654" s="8"/>
      <c r="D654" s="8"/>
      <c r="I654" s="8"/>
      <c r="J654" s="8"/>
    </row>
    <row r="655">
      <c r="A655" s="8"/>
      <c r="B655" s="8" t="str">
        <f>IF(ISBLANK(A655),"",VLOOKUP(A655,DOI_URL!$B$1:$C$74,2,FALSE()))</f>
        <v/>
      </c>
      <c r="C655" s="8"/>
      <c r="D655" s="8"/>
      <c r="I655" s="8"/>
      <c r="J655" s="8"/>
    </row>
    <row r="656">
      <c r="A656" s="8"/>
      <c r="B656" s="8" t="str">
        <f>IF(ISBLANK(A656),"",VLOOKUP(A656,DOI_URL!$B$1:$C$74,2,FALSE()))</f>
        <v/>
      </c>
      <c r="C656" s="8"/>
      <c r="D656" s="8"/>
      <c r="I656" s="8"/>
      <c r="J656" s="8"/>
    </row>
    <row r="657">
      <c r="A657" s="8"/>
      <c r="B657" s="8" t="str">
        <f>IF(ISBLANK(A657),"",VLOOKUP(A657,DOI_URL!$B$1:$C$74,2,FALSE()))</f>
        <v/>
      </c>
      <c r="C657" s="8"/>
      <c r="D657" s="8"/>
      <c r="I657" s="8"/>
      <c r="J657" s="8"/>
    </row>
    <row r="658">
      <c r="A658" s="8"/>
      <c r="B658" s="8" t="str">
        <f>IF(ISBLANK(A658),"",VLOOKUP(A658,DOI_URL!$B$1:$C$74,2,FALSE()))</f>
        <v/>
      </c>
      <c r="C658" s="8"/>
      <c r="D658" s="8"/>
      <c r="I658" s="8"/>
      <c r="J658" s="8"/>
    </row>
    <row r="659">
      <c r="A659" s="8"/>
      <c r="B659" s="8" t="str">
        <f>IF(ISBLANK(A659),"",VLOOKUP(A659,DOI_URL!$B$1:$C$74,2,FALSE()))</f>
        <v/>
      </c>
      <c r="C659" s="8"/>
      <c r="D659" s="8"/>
      <c r="I659" s="8"/>
      <c r="J659" s="8"/>
    </row>
    <row r="660">
      <c r="A660" s="8"/>
      <c r="B660" s="8" t="str">
        <f>IF(ISBLANK(A660),"",VLOOKUP(A660,DOI_URL!$B$1:$C$74,2,FALSE()))</f>
        <v/>
      </c>
      <c r="C660" s="8"/>
      <c r="D660" s="8"/>
      <c r="I660" s="8"/>
      <c r="J660" s="8"/>
    </row>
    <row r="661">
      <c r="A661" s="8"/>
      <c r="B661" s="8" t="str">
        <f>IF(ISBLANK(A661),"",VLOOKUP(A661,DOI_URL!$B$1:$C$74,2,FALSE()))</f>
        <v/>
      </c>
      <c r="C661" s="8"/>
      <c r="D661" s="8"/>
      <c r="I661" s="8"/>
      <c r="J661" s="8"/>
    </row>
    <row r="662">
      <c r="A662" s="8"/>
      <c r="B662" s="8" t="str">
        <f>IF(ISBLANK(A662),"",VLOOKUP(A662,DOI_URL!$B$1:$C$74,2,FALSE()))</f>
        <v/>
      </c>
      <c r="C662" s="8"/>
      <c r="D662" s="8"/>
      <c r="I662" s="8"/>
      <c r="J662" s="8"/>
    </row>
    <row r="663">
      <c r="A663" s="8"/>
      <c r="B663" s="8" t="str">
        <f>IF(ISBLANK(A663),"",VLOOKUP(A663,DOI_URL!$B$1:$C$74,2,FALSE()))</f>
        <v/>
      </c>
      <c r="C663" s="8"/>
      <c r="D663" s="8"/>
      <c r="I663" s="8"/>
      <c r="J663" s="8"/>
    </row>
    <row r="664">
      <c r="A664" s="8"/>
      <c r="B664" s="8" t="str">
        <f>IF(ISBLANK(A664),"",VLOOKUP(A664,DOI_URL!$B$1:$C$74,2,FALSE()))</f>
        <v/>
      </c>
      <c r="C664" s="8"/>
      <c r="D664" s="8"/>
      <c r="I664" s="8"/>
      <c r="J664" s="8"/>
    </row>
    <row r="665">
      <c r="A665" s="8"/>
      <c r="B665" s="8" t="str">
        <f>IF(ISBLANK(A665),"",VLOOKUP(A665,DOI_URL!$B$1:$C$74,2,FALSE()))</f>
        <v/>
      </c>
      <c r="C665" s="8"/>
      <c r="D665" s="8"/>
      <c r="I665" s="8"/>
      <c r="J665" s="8"/>
    </row>
    <row r="666">
      <c r="A666" s="8"/>
      <c r="B666" s="8" t="str">
        <f>IF(ISBLANK(A666),"",VLOOKUP(A666,DOI_URL!$B$1:$C$74,2,FALSE()))</f>
        <v/>
      </c>
      <c r="C666" s="8"/>
      <c r="D666" s="8"/>
      <c r="I666" s="8"/>
      <c r="J666" s="8"/>
    </row>
    <row r="667">
      <c r="A667" s="8"/>
      <c r="B667" s="8" t="str">
        <f>IF(ISBLANK(A667),"",VLOOKUP(A667,DOI_URL!$B$1:$C$74,2,FALSE()))</f>
        <v/>
      </c>
      <c r="C667" s="8"/>
      <c r="D667" s="8"/>
      <c r="I667" s="8"/>
      <c r="J667" s="8"/>
    </row>
    <row r="668">
      <c r="A668" s="8"/>
      <c r="B668" s="8" t="str">
        <f>IF(ISBLANK(A668),"",VLOOKUP(A668,DOI_URL!$B$1:$C$74,2,FALSE()))</f>
        <v/>
      </c>
      <c r="C668" s="8"/>
      <c r="D668" s="8"/>
      <c r="I668" s="8"/>
      <c r="J668" s="8"/>
    </row>
    <row r="669">
      <c r="A669" s="8"/>
      <c r="B669" s="8" t="str">
        <f>IF(ISBLANK(A669),"",VLOOKUP(A669,DOI_URL!$B$1:$C$74,2,FALSE()))</f>
        <v/>
      </c>
      <c r="C669" s="8"/>
      <c r="D669" s="8"/>
      <c r="I669" s="8"/>
      <c r="J669" s="8"/>
    </row>
    <row r="670">
      <c r="A670" s="8"/>
      <c r="B670" s="8" t="str">
        <f>IF(ISBLANK(A670),"",VLOOKUP(A670,DOI_URL!$B$1:$C$74,2,FALSE()))</f>
        <v/>
      </c>
      <c r="C670" s="8"/>
      <c r="D670" s="8"/>
      <c r="I670" s="8"/>
      <c r="J670" s="8"/>
    </row>
    <row r="671">
      <c r="A671" s="8"/>
      <c r="B671" s="8" t="str">
        <f>IF(ISBLANK(A671),"",VLOOKUP(A671,DOI_URL!$B$1:$C$74,2,FALSE()))</f>
        <v/>
      </c>
      <c r="C671" s="8"/>
      <c r="D671" s="8"/>
      <c r="I671" s="8"/>
      <c r="J671" s="8"/>
    </row>
    <row r="672">
      <c r="A672" s="8"/>
      <c r="B672" s="8" t="str">
        <f>IF(ISBLANK(A672),"",VLOOKUP(A672,DOI_URL!$B$1:$C$74,2,FALSE()))</f>
        <v/>
      </c>
      <c r="C672" s="8"/>
      <c r="D672" s="8"/>
      <c r="I672" s="8"/>
      <c r="J672" s="8"/>
    </row>
    <row r="673">
      <c r="A673" s="8"/>
      <c r="B673" s="8" t="str">
        <f>IF(ISBLANK(A673),"",VLOOKUP(A673,DOI_URL!$B$1:$C$74,2,FALSE()))</f>
        <v/>
      </c>
      <c r="C673" s="8"/>
      <c r="D673" s="8"/>
      <c r="I673" s="8"/>
      <c r="J673" s="8"/>
    </row>
    <row r="674">
      <c r="A674" s="8"/>
      <c r="B674" s="8" t="str">
        <f>IF(ISBLANK(A674),"",VLOOKUP(A674,DOI_URL!$B$1:$C$74,2,FALSE()))</f>
        <v/>
      </c>
      <c r="C674" s="8"/>
      <c r="D674" s="8"/>
      <c r="I674" s="8"/>
      <c r="J674" s="8"/>
    </row>
    <row r="675">
      <c r="A675" s="8"/>
      <c r="B675" s="8" t="str">
        <f>IF(ISBLANK(A675),"",VLOOKUP(A675,DOI_URL!$B$1:$C$74,2,FALSE()))</f>
        <v/>
      </c>
      <c r="C675" s="8"/>
      <c r="D675" s="8"/>
      <c r="I675" s="8"/>
      <c r="J675" s="8"/>
    </row>
    <row r="676">
      <c r="A676" s="8"/>
      <c r="B676" s="8" t="str">
        <f>IF(ISBLANK(A676),"",VLOOKUP(A676,DOI_URL!$B$1:$C$74,2,FALSE()))</f>
        <v/>
      </c>
      <c r="C676" s="8"/>
      <c r="D676" s="8"/>
      <c r="I676" s="8"/>
      <c r="J676" s="8"/>
    </row>
    <row r="677">
      <c r="A677" s="8"/>
      <c r="B677" s="8" t="str">
        <f>IF(ISBLANK(A677),"",VLOOKUP(A677,DOI_URL!$B$1:$C$74,2,FALSE()))</f>
        <v/>
      </c>
      <c r="C677" s="8"/>
      <c r="D677" s="8"/>
      <c r="I677" s="8"/>
      <c r="J677" s="8"/>
    </row>
    <row r="678">
      <c r="A678" s="8"/>
      <c r="B678" s="8" t="str">
        <f>IF(ISBLANK(A678),"",VLOOKUP(A678,DOI_URL!$B$1:$C$74,2,FALSE()))</f>
        <v/>
      </c>
      <c r="C678" s="8"/>
      <c r="D678" s="8"/>
      <c r="I678" s="8"/>
      <c r="J678" s="8"/>
    </row>
    <row r="679">
      <c r="A679" s="8"/>
      <c r="B679" s="8" t="str">
        <f>IF(ISBLANK(A679),"",VLOOKUP(A679,DOI_URL!$B$1:$C$74,2,FALSE()))</f>
        <v/>
      </c>
      <c r="C679" s="8"/>
      <c r="D679" s="8"/>
      <c r="I679" s="8"/>
      <c r="J679" s="8"/>
    </row>
    <row r="680">
      <c r="A680" s="8"/>
      <c r="B680" s="8" t="str">
        <f>IF(ISBLANK(A680),"",VLOOKUP(A680,DOI_URL!$B$1:$C$74,2,FALSE()))</f>
        <v/>
      </c>
      <c r="C680" s="8"/>
      <c r="D680" s="8"/>
      <c r="I680" s="8"/>
      <c r="J680" s="8"/>
    </row>
    <row r="681">
      <c r="A681" s="8"/>
      <c r="B681" s="8" t="str">
        <f>IF(ISBLANK(A681),"",VLOOKUP(A681,DOI_URL!$B$1:$C$74,2,FALSE()))</f>
        <v/>
      </c>
      <c r="C681" s="8"/>
      <c r="D681" s="8"/>
      <c r="I681" s="8"/>
      <c r="J681" s="8"/>
    </row>
    <row r="682">
      <c r="A682" s="8"/>
      <c r="B682" s="8" t="str">
        <f>IF(ISBLANK(A682),"",VLOOKUP(A682,DOI_URL!$B$1:$C$74,2,FALSE()))</f>
        <v/>
      </c>
      <c r="C682" s="8"/>
      <c r="D682" s="8"/>
      <c r="I682" s="8"/>
      <c r="J682" s="8"/>
    </row>
    <row r="683">
      <c r="A683" s="8"/>
      <c r="B683" s="8" t="str">
        <f>IF(ISBLANK(A683),"",VLOOKUP(A683,DOI_URL!$B$1:$C$74,2,FALSE()))</f>
        <v/>
      </c>
      <c r="C683" s="8"/>
      <c r="D683" s="8"/>
      <c r="I683" s="8"/>
      <c r="J683" s="8"/>
    </row>
    <row r="684">
      <c r="A684" s="8"/>
      <c r="B684" s="8" t="str">
        <f>IF(ISBLANK(A684),"",VLOOKUP(A684,DOI_URL!$B$1:$C$74,2,FALSE()))</f>
        <v/>
      </c>
      <c r="C684" s="8"/>
      <c r="D684" s="8"/>
      <c r="I684" s="8"/>
      <c r="J684" s="8"/>
    </row>
    <row r="685">
      <c r="A685" s="8"/>
      <c r="B685" s="8" t="str">
        <f>IF(ISBLANK(A685),"",VLOOKUP(A685,DOI_URL!$B$1:$C$74,2,FALSE()))</f>
        <v/>
      </c>
      <c r="C685" s="8"/>
      <c r="D685" s="8"/>
      <c r="I685" s="8"/>
      <c r="J685" s="8"/>
    </row>
    <row r="686">
      <c r="A686" s="8"/>
      <c r="B686" s="8" t="str">
        <f>IF(ISBLANK(A686),"",VLOOKUP(A686,DOI_URL!$B$1:$C$74,2,FALSE()))</f>
        <v/>
      </c>
      <c r="C686" s="8"/>
      <c r="D686" s="8"/>
      <c r="I686" s="8"/>
      <c r="J686" s="8"/>
    </row>
    <row r="687">
      <c r="A687" s="8"/>
      <c r="B687" s="8" t="str">
        <f>IF(ISBLANK(A687),"",VLOOKUP(A687,DOI_URL!$B$1:$C$74,2,FALSE()))</f>
        <v/>
      </c>
      <c r="C687" s="8"/>
      <c r="D687" s="8"/>
      <c r="I687" s="8"/>
      <c r="J687" s="8"/>
    </row>
    <row r="688">
      <c r="A688" s="8"/>
      <c r="B688" s="8" t="str">
        <f>IF(ISBLANK(A688),"",VLOOKUP(A688,DOI_URL!$B$1:$C$74,2,FALSE()))</f>
        <v/>
      </c>
      <c r="C688" s="8"/>
      <c r="D688" s="8"/>
      <c r="I688" s="8"/>
      <c r="J688" s="8"/>
    </row>
    <row r="689">
      <c r="A689" s="8"/>
      <c r="B689" s="8" t="str">
        <f>IF(ISBLANK(A689),"",VLOOKUP(A689,DOI_URL!$B$1:$C$74,2,FALSE()))</f>
        <v/>
      </c>
      <c r="C689" s="8"/>
      <c r="D689" s="8"/>
      <c r="I689" s="8"/>
      <c r="J689" s="8"/>
    </row>
    <row r="690">
      <c r="A690" s="8"/>
      <c r="B690" s="8" t="str">
        <f>IF(ISBLANK(A690),"",VLOOKUP(A690,DOI_URL!$B$1:$C$74,2,FALSE()))</f>
        <v/>
      </c>
      <c r="C690" s="8"/>
      <c r="D690" s="8"/>
      <c r="I690" s="8"/>
      <c r="J690" s="8"/>
    </row>
    <row r="691">
      <c r="A691" s="8"/>
      <c r="B691" s="8" t="str">
        <f>IF(ISBLANK(A691),"",VLOOKUP(A691,DOI_URL!$B$1:$C$74,2,FALSE()))</f>
        <v/>
      </c>
      <c r="C691" s="8"/>
      <c r="D691" s="8"/>
      <c r="I691" s="8"/>
      <c r="J691" s="8"/>
    </row>
    <row r="692">
      <c r="A692" s="8"/>
      <c r="B692" s="8" t="str">
        <f>IF(ISBLANK(A692),"",VLOOKUP(A692,DOI_URL!$B$1:$C$74,2,FALSE()))</f>
        <v/>
      </c>
      <c r="C692" s="8"/>
      <c r="D692" s="8"/>
      <c r="I692" s="8"/>
      <c r="J692" s="8"/>
    </row>
    <row r="693">
      <c r="A693" s="8"/>
      <c r="B693" s="8" t="str">
        <f>IF(ISBLANK(A693),"",VLOOKUP(A693,DOI_URL!$B$1:$C$74,2,FALSE()))</f>
        <v/>
      </c>
      <c r="C693" s="8"/>
      <c r="D693" s="8"/>
      <c r="I693" s="8"/>
      <c r="J693" s="8"/>
    </row>
    <row r="694">
      <c r="A694" s="8"/>
      <c r="B694" s="8" t="str">
        <f>IF(ISBLANK(A694),"",VLOOKUP(A694,DOI_URL!$B$1:$C$74,2,FALSE()))</f>
        <v/>
      </c>
      <c r="C694" s="8"/>
      <c r="D694" s="8"/>
      <c r="I694" s="8"/>
      <c r="J694" s="8"/>
    </row>
    <row r="695">
      <c r="A695" s="8"/>
      <c r="B695" s="8" t="str">
        <f>IF(ISBLANK(A695),"",VLOOKUP(A695,DOI_URL!$B$1:$C$74,2,FALSE()))</f>
        <v/>
      </c>
      <c r="C695" s="8"/>
      <c r="D695" s="8"/>
      <c r="I695" s="8"/>
      <c r="J695" s="8"/>
    </row>
    <row r="696">
      <c r="A696" s="8"/>
      <c r="B696" s="8" t="str">
        <f>IF(ISBLANK(A696),"",VLOOKUP(A696,DOI_URL!$B$1:$C$74,2,FALSE()))</f>
        <v/>
      </c>
      <c r="C696" s="8"/>
      <c r="D696" s="8"/>
      <c r="I696" s="8"/>
      <c r="J696" s="8"/>
    </row>
    <row r="697">
      <c r="A697" s="8"/>
      <c r="B697" s="8" t="str">
        <f>IF(ISBLANK(A697),"",VLOOKUP(A697,DOI_URL!$B$1:$C$74,2,FALSE()))</f>
        <v/>
      </c>
      <c r="C697" s="8"/>
      <c r="D697" s="8"/>
      <c r="I697" s="8"/>
      <c r="J697" s="8"/>
    </row>
    <row r="698">
      <c r="A698" s="8"/>
      <c r="B698" s="8" t="str">
        <f>IF(ISBLANK(A698),"",VLOOKUP(A698,DOI_URL!$B$1:$C$74,2,FALSE()))</f>
        <v/>
      </c>
      <c r="C698" s="8"/>
      <c r="D698" s="8"/>
      <c r="I698" s="8"/>
      <c r="J698" s="8"/>
    </row>
    <row r="699">
      <c r="A699" s="8"/>
      <c r="B699" s="8" t="str">
        <f>IF(ISBLANK(A699),"",VLOOKUP(A699,DOI_URL!$B$1:$C$74,2,FALSE()))</f>
        <v/>
      </c>
      <c r="C699" s="8"/>
      <c r="D699" s="8"/>
      <c r="I699" s="8"/>
      <c r="J699" s="8"/>
    </row>
    <row r="700">
      <c r="A700" s="8"/>
      <c r="B700" s="8" t="str">
        <f>IF(ISBLANK(A700),"",VLOOKUP(A700,DOI_URL!$B$1:$C$74,2,FALSE()))</f>
        <v/>
      </c>
      <c r="C700" s="8"/>
      <c r="D700" s="8"/>
      <c r="I700" s="8"/>
      <c r="J700" s="8"/>
    </row>
    <row r="701">
      <c r="A701" s="8"/>
      <c r="B701" s="8" t="str">
        <f>IF(ISBLANK(A701),"",VLOOKUP(A701,DOI_URL!$B$1:$C$74,2,FALSE()))</f>
        <v/>
      </c>
      <c r="C701" s="8"/>
      <c r="D701" s="8"/>
      <c r="I701" s="8"/>
      <c r="J701" s="8"/>
    </row>
    <row r="702">
      <c r="A702" s="8"/>
      <c r="B702" s="8" t="str">
        <f>IF(ISBLANK(A702),"",VLOOKUP(A702,DOI_URL!$B$1:$C$74,2,FALSE()))</f>
        <v/>
      </c>
      <c r="C702" s="8"/>
      <c r="D702" s="8"/>
      <c r="I702" s="8"/>
      <c r="J702" s="8"/>
    </row>
    <row r="703">
      <c r="A703" s="8"/>
      <c r="B703" s="8" t="str">
        <f>IF(ISBLANK(A703),"",VLOOKUP(A703,DOI_URL!$B$1:$C$74,2,FALSE()))</f>
        <v/>
      </c>
      <c r="C703" s="8"/>
      <c r="D703" s="8"/>
      <c r="I703" s="8"/>
      <c r="J703" s="8"/>
    </row>
    <row r="704">
      <c r="A704" s="8"/>
      <c r="B704" s="8" t="str">
        <f>IF(ISBLANK(A704),"",VLOOKUP(A704,DOI_URL!$B$1:$C$74,2,FALSE()))</f>
        <v/>
      </c>
      <c r="C704" s="8"/>
      <c r="D704" s="8"/>
      <c r="I704" s="8"/>
      <c r="J704" s="8"/>
    </row>
    <row r="705">
      <c r="A705" s="8"/>
      <c r="B705" s="8" t="str">
        <f>IF(ISBLANK(A705),"",VLOOKUP(A705,DOI_URL!$B$1:$C$74,2,FALSE()))</f>
        <v/>
      </c>
      <c r="C705" s="8"/>
      <c r="D705" s="8"/>
      <c r="I705" s="8"/>
      <c r="J705" s="8"/>
    </row>
    <row r="706">
      <c r="A706" s="8"/>
      <c r="B706" s="8" t="str">
        <f>IF(ISBLANK(A706),"",VLOOKUP(A706,DOI_URL!$B$1:$C$74,2,FALSE()))</f>
        <v/>
      </c>
      <c r="C706" s="8"/>
      <c r="D706" s="8"/>
      <c r="I706" s="8"/>
      <c r="J706" s="8"/>
    </row>
    <row r="707">
      <c r="A707" s="8"/>
      <c r="B707" s="8" t="str">
        <f>IF(ISBLANK(A707),"",VLOOKUP(A707,DOI_URL!$B$1:$C$74,2,FALSE()))</f>
        <v/>
      </c>
      <c r="C707" s="8"/>
      <c r="D707" s="8"/>
      <c r="I707" s="8"/>
      <c r="J707" s="8"/>
    </row>
    <row r="708">
      <c r="A708" s="8"/>
      <c r="B708" s="8" t="str">
        <f>IF(ISBLANK(A708),"",VLOOKUP(A708,DOI_URL!$B$1:$C$74,2,FALSE()))</f>
        <v/>
      </c>
      <c r="C708" s="8"/>
      <c r="D708" s="8"/>
      <c r="I708" s="8"/>
      <c r="J708" s="8"/>
    </row>
    <row r="709">
      <c r="A709" s="8"/>
      <c r="B709" s="8" t="str">
        <f>IF(ISBLANK(A709),"",VLOOKUP(A709,DOI_URL!$B$1:$C$74,2,FALSE()))</f>
        <v/>
      </c>
      <c r="C709" s="8"/>
      <c r="D709" s="8"/>
      <c r="I709" s="8"/>
      <c r="J709" s="8"/>
    </row>
    <row r="710">
      <c r="A710" s="8"/>
      <c r="B710" s="8" t="str">
        <f>IF(ISBLANK(A710),"",VLOOKUP(A710,DOI_URL!$B$1:$C$74,2,FALSE()))</f>
        <v/>
      </c>
      <c r="C710" s="8"/>
      <c r="D710" s="8"/>
      <c r="I710" s="8"/>
      <c r="J710" s="8"/>
    </row>
    <row r="711">
      <c r="A711" s="8"/>
      <c r="B711" s="8" t="str">
        <f>IF(ISBLANK(A711),"",VLOOKUP(A711,DOI_URL!$B$1:$C$74,2,FALSE()))</f>
        <v/>
      </c>
      <c r="C711" s="8"/>
      <c r="D711" s="8"/>
      <c r="I711" s="8"/>
      <c r="J711" s="8"/>
    </row>
    <row r="712">
      <c r="A712" s="8"/>
      <c r="B712" s="8" t="str">
        <f>IF(ISBLANK(A712),"",VLOOKUP(A712,DOI_URL!$B$1:$C$74,2,FALSE()))</f>
        <v/>
      </c>
      <c r="C712" s="8"/>
      <c r="D712" s="8"/>
      <c r="I712" s="8"/>
      <c r="J712" s="8"/>
    </row>
    <row r="713">
      <c r="A713" s="8"/>
      <c r="B713" s="8" t="str">
        <f>IF(ISBLANK(A713),"",VLOOKUP(A713,DOI_URL!$B$1:$C$74,2,FALSE()))</f>
        <v/>
      </c>
      <c r="C713" s="8"/>
      <c r="D713" s="8"/>
      <c r="I713" s="8"/>
      <c r="J713" s="8"/>
    </row>
    <row r="714">
      <c r="A714" s="8"/>
      <c r="B714" s="8" t="str">
        <f>IF(ISBLANK(A714),"",VLOOKUP(A714,DOI_URL!$B$1:$C$74,2,FALSE()))</f>
        <v/>
      </c>
      <c r="C714" s="8"/>
      <c r="D714" s="8"/>
      <c r="I714" s="8"/>
      <c r="J714" s="8"/>
    </row>
    <row r="715">
      <c r="A715" s="8"/>
      <c r="B715" s="8" t="str">
        <f>IF(ISBLANK(A715),"",VLOOKUP(A715,DOI_URL!$B$1:$C$74,2,FALSE()))</f>
        <v/>
      </c>
      <c r="C715" s="8"/>
      <c r="D715" s="8"/>
      <c r="I715" s="8"/>
      <c r="J715" s="8"/>
    </row>
    <row r="716">
      <c r="A716" s="8"/>
      <c r="B716" s="8" t="str">
        <f>IF(ISBLANK(A716),"",VLOOKUP(A716,DOI_URL!$B$1:$C$74,2,FALSE()))</f>
        <v/>
      </c>
      <c r="C716" s="8"/>
      <c r="D716" s="8"/>
      <c r="I716" s="8"/>
      <c r="J716" s="8"/>
    </row>
    <row r="717">
      <c r="A717" s="8"/>
      <c r="B717" s="8" t="str">
        <f>IF(ISBLANK(A717),"",VLOOKUP(A717,DOI_URL!$B$1:$C$74,2,FALSE()))</f>
        <v/>
      </c>
      <c r="C717" s="8"/>
      <c r="D717" s="8"/>
      <c r="I717" s="8"/>
      <c r="J717" s="8"/>
    </row>
    <row r="718">
      <c r="A718" s="8"/>
      <c r="B718" s="8" t="str">
        <f>IF(ISBLANK(A718),"",VLOOKUP(A718,DOI_URL!$B$1:$C$74,2,FALSE()))</f>
        <v/>
      </c>
      <c r="C718" s="8"/>
      <c r="D718" s="8"/>
      <c r="I718" s="8"/>
      <c r="J718" s="8"/>
    </row>
    <row r="719">
      <c r="A719" s="8"/>
      <c r="B719" s="8" t="str">
        <f>IF(ISBLANK(A719),"",VLOOKUP(A719,DOI_URL!$B$1:$C$74,2,FALSE()))</f>
        <v/>
      </c>
      <c r="C719" s="8"/>
      <c r="D719" s="8"/>
      <c r="I719" s="8"/>
      <c r="J719" s="8"/>
    </row>
    <row r="720">
      <c r="A720" s="8"/>
      <c r="B720" s="8" t="str">
        <f>IF(ISBLANK(A720),"",VLOOKUP(A720,DOI_URL!$B$1:$C$74,2,FALSE()))</f>
        <v/>
      </c>
      <c r="C720" s="8"/>
      <c r="D720" s="8"/>
      <c r="I720" s="8"/>
      <c r="J720" s="8"/>
    </row>
    <row r="721">
      <c r="A721" s="8"/>
      <c r="B721" s="8" t="str">
        <f>IF(ISBLANK(A721),"",VLOOKUP(A721,DOI_URL!$B$1:$C$74,2,FALSE()))</f>
        <v/>
      </c>
      <c r="C721" s="8"/>
      <c r="D721" s="8"/>
      <c r="I721" s="8"/>
      <c r="J721" s="8"/>
    </row>
    <row r="722">
      <c r="A722" s="8"/>
      <c r="B722" s="8" t="str">
        <f>IF(ISBLANK(A722),"",VLOOKUP(A722,DOI_URL!$B$1:$C$74,2,FALSE()))</f>
        <v/>
      </c>
      <c r="C722" s="8"/>
      <c r="D722" s="8"/>
      <c r="I722" s="8"/>
      <c r="J722" s="8"/>
    </row>
    <row r="723">
      <c r="A723" s="8"/>
      <c r="B723" s="8" t="str">
        <f>IF(ISBLANK(A723),"",VLOOKUP(A723,DOI_URL!$B$1:$C$74,2,FALSE()))</f>
        <v/>
      </c>
      <c r="C723" s="8"/>
      <c r="D723" s="8"/>
      <c r="I723" s="8"/>
      <c r="J723" s="8"/>
    </row>
    <row r="724">
      <c r="A724" s="8"/>
      <c r="B724" s="8" t="str">
        <f>IF(ISBLANK(A724),"",VLOOKUP(A724,DOI_URL!$B$1:$C$74,2,FALSE()))</f>
        <v/>
      </c>
      <c r="C724" s="8"/>
      <c r="D724" s="8"/>
      <c r="I724" s="8"/>
      <c r="J724" s="8"/>
    </row>
    <row r="725">
      <c r="A725" s="8"/>
      <c r="B725" s="8" t="str">
        <f>IF(ISBLANK(A725),"",VLOOKUP(A725,DOI_URL!$B$1:$C$74,2,FALSE()))</f>
        <v/>
      </c>
      <c r="C725" s="8"/>
      <c r="D725" s="8"/>
      <c r="I725" s="8"/>
      <c r="J725" s="8"/>
    </row>
    <row r="726">
      <c r="A726" s="8"/>
      <c r="B726" s="8" t="str">
        <f>IF(ISBLANK(A726),"",VLOOKUP(A726,DOI_URL!$B$1:$C$74,2,FALSE()))</f>
        <v/>
      </c>
      <c r="C726" s="8"/>
      <c r="D726" s="8"/>
      <c r="I726" s="8"/>
      <c r="J726" s="8"/>
    </row>
    <row r="727">
      <c r="A727" s="8"/>
      <c r="B727" s="8" t="str">
        <f>IF(ISBLANK(A727),"",VLOOKUP(A727,DOI_URL!$B$1:$C$74,2,FALSE()))</f>
        <v/>
      </c>
      <c r="C727" s="8"/>
      <c r="D727" s="8"/>
      <c r="I727" s="8"/>
      <c r="J727" s="8"/>
    </row>
    <row r="728">
      <c r="A728" s="8"/>
      <c r="B728" s="8" t="str">
        <f>IF(ISBLANK(A728),"",VLOOKUP(A728,DOI_URL!$B$1:$C$74,2,FALSE()))</f>
        <v/>
      </c>
      <c r="C728" s="8"/>
      <c r="D728" s="8"/>
      <c r="I728" s="8"/>
      <c r="J728" s="8"/>
    </row>
    <row r="729">
      <c r="A729" s="8"/>
      <c r="B729" s="8" t="str">
        <f>IF(ISBLANK(A729),"",VLOOKUP(A729,DOI_URL!$B$1:$C$74,2,FALSE()))</f>
        <v/>
      </c>
      <c r="C729" s="8"/>
      <c r="D729" s="8"/>
      <c r="I729" s="8"/>
      <c r="J729" s="8"/>
    </row>
    <row r="730">
      <c r="A730" s="8"/>
      <c r="B730" s="8" t="str">
        <f>IF(ISBLANK(A730),"",VLOOKUP(A730,DOI_URL!$B$1:$C$74,2,FALSE()))</f>
        <v/>
      </c>
      <c r="C730" s="8"/>
      <c r="D730" s="8"/>
      <c r="I730" s="8"/>
      <c r="J730" s="8"/>
    </row>
    <row r="731">
      <c r="A731" s="8"/>
      <c r="B731" s="8" t="str">
        <f>IF(ISBLANK(A731),"",VLOOKUP(A731,DOI_URL!$B$1:$C$74,2,FALSE()))</f>
        <v/>
      </c>
      <c r="C731" s="8"/>
      <c r="D731" s="8"/>
      <c r="I731" s="8"/>
      <c r="J731" s="8"/>
    </row>
    <row r="732">
      <c r="A732" s="8"/>
      <c r="B732" s="8" t="str">
        <f>IF(ISBLANK(A732),"",VLOOKUP(A732,DOI_URL!$B$1:$C$74,2,FALSE()))</f>
        <v/>
      </c>
      <c r="C732" s="8"/>
      <c r="D732" s="8"/>
      <c r="I732" s="8"/>
      <c r="J732" s="8"/>
    </row>
    <row r="733">
      <c r="A733" s="8"/>
      <c r="B733" s="8" t="str">
        <f>IF(ISBLANK(A733),"",VLOOKUP(A733,DOI_URL!$B$1:$C$74,2,FALSE()))</f>
        <v/>
      </c>
      <c r="C733" s="8"/>
      <c r="D733" s="8"/>
      <c r="I733" s="8"/>
      <c r="J733" s="8"/>
    </row>
    <row r="734">
      <c r="A734" s="8"/>
      <c r="B734" s="8" t="str">
        <f>IF(ISBLANK(A734),"",VLOOKUP(A734,DOI_URL!$B$1:$C$74,2,FALSE()))</f>
        <v/>
      </c>
      <c r="C734" s="8"/>
      <c r="D734" s="8"/>
      <c r="I734" s="8"/>
      <c r="J734" s="8"/>
    </row>
    <row r="735">
      <c r="A735" s="8"/>
      <c r="B735" s="8" t="str">
        <f>IF(ISBLANK(A735),"",VLOOKUP(A735,DOI_URL!$B$1:$C$74,2,FALSE()))</f>
        <v/>
      </c>
      <c r="C735" s="8"/>
      <c r="D735" s="8"/>
      <c r="I735" s="8"/>
      <c r="J735" s="8"/>
    </row>
    <row r="736">
      <c r="A736" s="8"/>
      <c r="B736" s="8" t="str">
        <f>IF(ISBLANK(A736),"",VLOOKUP(A736,DOI_URL!$B$1:$C$74,2,FALSE()))</f>
        <v/>
      </c>
      <c r="C736" s="8"/>
      <c r="D736" s="8"/>
      <c r="I736" s="8"/>
      <c r="J736" s="8"/>
    </row>
    <row r="737">
      <c r="A737" s="8"/>
      <c r="B737" s="8" t="str">
        <f>IF(ISBLANK(A737),"",VLOOKUP(A737,DOI_URL!$B$1:$C$74,2,FALSE()))</f>
        <v/>
      </c>
      <c r="C737" s="8"/>
      <c r="D737" s="8"/>
      <c r="I737" s="8"/>
      <c r="J737" s="8"/>
    </row>
    <row r="738">
      <c r="A738" s="8"/>
      <c r="B738" s="8" t="str">
        <f>IF(ISBLANK(A738),"",VLOOKUP(A738,DOI_URL!$B$1:$C$74,2,FALSE()))</f>
        <v/>
      </c>
      <c r="C738" s="8"/>
      <c r="D738" s="8"/>
      <c r="I738" s="8"/>
      <c r="J738" s="8"/>
    </row>
    <row r="739">
      <c r="A739" s="8"/>
      <c r="B739" s="8" t="str">
        <f>IF(ISBLANK(A739),"",VLOOKUP(A739,DOI_URL!$B$1:$C$74,2,FALSE()))</f>
        <v/>
      </c>
      <c r="C739" s="8"/>
      <c r="D739" s="8"/>
      <c r="I739" s="8"/>
      <c r="J739" s="8"/>
    </row>
    <row r="740">
      <c r="A740" s="8"/>
      <c r="B740" s="8" t="str">
        <f>IF(ISBLANK(A740),"",VLOOKUP(A740,DOI_URL!$B$1:$C$74,2,FALSE()))</f>
        <v/>
      </c>
      <c r="C740" s="8"/>
      <c r="D740" s="8"/>
      <c r="I740" s="8"/>
      <c r="J740" s="8"/>
    </row>
    <row r="741">
      <c r="A741" s="8"/>
      <c r="B741" s="8" t="str">
        <f>IF(ISBLANK(A741),"",VLOOKUP(A741,DOI_URL!$B$1:$C$74,2,FALSE()))</f>
        <v/>
      </c>
      <c r="C741" s="8"/>
      <c r="D741" s="8"/>
      <c r="I741" s="8"/>
      <c r="J741" s="8"/>
    </row>
    <row r="742">
      <c r="A742" s="8"/>
      <c r="B742" s="8" t="str">
        <f>IF(ISBLANK(A742),"",VLOOKUP(A742,DOI_URL!$B$1:$C$74,2,FALSE()))</f>
        <v/>
      </c>
      <c r="C742" s="8"/>
      <c r="D742" s="8"/>
      <c r="I742" s="8"/>
      <c r="J742" s="8"/>
    </row>
    <row r="743">
      <c r="A743" s="8"/>
      <c r="B743" s="8" t="str">
        <f>IF(ISBLANK(A743),"",VLOOKUP(A743,DOI_URL!$B$1:$C$74,2,FALSE()))</f>
        <v/>
      </c>
      <c r="C743" s="8"/>
      <c r="D743" s="8"/>
      <c r="I743" s="8"/>
      <c r="J743" s="8"/>
    </row>
    <row r="744">
      <c r="A744" s="8"/>
      <c r="B744" s="8" t="str">
        <f>IF(ISBLANK(A744),"",VLOOKUP(A744,DOI_URL!$B$1:$C$74,2,FALSE()))</f>
        <v/>
      </c>
      <c r="C744" s="8"/>
      <c r="D744" s="8"/>
      <c r="I744" s="8"/>
      <c r="J744" s="8"/>
    </row>
    <row r="745">
      <c r="A745" s="8"/>
      <c r="B745" s="8" t="str">
        <f>IF(ISBLANK(A745),"",VLOOKUP(A745,DOI_URL!$B$1:$C$74,2,FALSE()))</f>
        <v/>
      </c>
      <c r="C745" s="8"/>
      <c r="D745" s="8"/>
      <c r="I745" s="8"/>
      <c r="J745" s="8"/>
    </row>
    <row r="746">
      <c r="A746" s="8"/>
      <c r="B746" s="8" t="str">
        <f>IF(ISBLANK(A746),"",VLOOKUP(A746,DOI_URL!$B$1:$C$74,2,FALSE()))</f>
        <v/>
      </c>
      <c r="C746" s="8"/>
      <c r="D746" s="8"/>
      <c r="I746" s="8"/>
      <c r="J746" s="8"/>
    </row>
    <row r="747">
      <c r="A747" s="8"/>
      <c r="B747" s="8" t="str">
        <f>IF(ISBLANK(A747),"",VLOOKUP(A747,DOI_URL!$B$1:$C$74,2,FALSE()))</f>
        <v/>
      </c>
      <c r="C747" s="8"/>
      <c r="D747" s="8"/>
      <c r="I747" s="8"/>
      <c r="J747" s="8"/>
    </row>
    <row r="748">
      <c r="A748" s="8"/>
      <c r="B748" s="8" t="str">
        <f>IF(ISBLANK(A748),"",VLOOKUP(A748,DOI_URL!$B$1:$C$74,2,FALSE()))</f>
        <v/>
      </c>
      <c r="C748" s="8"/>
      <c r="D748" s="8"/>
      <c r="I748" s="8"/>
      <c r="J748" s="8"/>
    </row>
    <row r="749">
      <c r="A749" s="8"/>
      <c r="B749" s="8" t="str">
        <f>IF(ISBLANK(A749),"",VLOOKUP(A749,DOI_URL!$B$1:$C$74,2,FALSE()))</f>
        <v/>
      </c>
      <c r="C749" s="8"/>
      <c r="D749" s="8"/>
      <c r="I749" s="8"/>
      <c r="J749" s="8"/>
    </row>
    <row r="750">
      <c r="A750" s="8"/>
      <c r="B750" s="8" t="str">
        <f>IF(ISBLANK(A750),"",VLOOKUP(A750,DOI_URL!$B$1:$C$74,2,FALSE()))</f>
        <v/>
      </c>
      <c r="C750" s="8"/>
      <c r="D750" s="8"/>
      <c r="I750" s="8"/>
      <c r="J750" s="8"/>
    </row>
    <row r="751">
      <c r="A751" s="8"/>
      <c r="B751" s="8" t="str">
        <f>IF(ISBLANK(A751),"",VLOOKUP(A751,DOI_URL!$B$1:$C$74,2,FALSE()))</f>
        <v/>
      </c>
      <c r="C751" s="8"/>
      <c r="D751" s="8"/>
      <c r="I751" s="8"/>
      <c r="J751" s="8"/>
    </row>
    <row r="752">
      <c r="A752" s="8"/>
      <c r="B752" s="8" t="str">
        <f>IF(ISBLANK(A752),"",VLOOKUP(A752,DOI_URL!$B$1:$C$74,2,FALSE()))</f>
        <v/>
      </c>
      <c r="C752" s="8"/>
      <c r="D752" s="8"/>
      <c r="I752" s="8"/>
      <c r="J752" s="8"/>
    </row>
    <row r="753">
      <c r="A753" s="8"/>
      <c r="B753" s="8" t="str">
        <f>IF(ISBLANK(A753),"",VLOOKUP(A753,DOI_URL!$B$1:$C$74,2,FALSE()))</f>
        <v/>
      </c>
      <c r="C753" s="8"/>
      <c r="D753" s="8"/>
      <c r="I753" s="8"/>
      <c r="J753" s="8"/>
    </row>
    <row r="754">
      <c r="A754" s="8"/>
      <c r="B754" s="8" t="str">
        <f>IF(ISBLANK(A754),"",VLOOKUP(A754,DOI_URL!$B$1:$C$74,2,FALSE()))</f>
        <v/>
      </c>
      <c r="C754" s="8"/>
      <c r="D754" s="8"/>
      <c r="I754" s="8"/>
      <c r="J754" s="8"/>
    </row>
    <row r="755">
      <c r="A755" s="8"/>
      <c r="B755" s="8" t="str">
        <f>IF(ISBLANK(A755),"",VLOOKUP(A755,DOI_URL!$B$1:$C$74,2,FALSE()))</f>
        <v/>
      </c>
      <c r="C755" s="8"/>
      <c r="D755" s="8"/>
      <c r="I755" s="8"/>
      <c r="J755" s="8"/>
    </row>
    <row r="756">
      <c r="A756" s="8"/>
      <c r="B756" s="8" t="str">
        <f>IF(ISBLANK(A756),"",VLOOKUP(A756,DOI_URL!$B$1:$C$74,2,FALSE()))</f>
        <v/>
      </c>
      <c r="C756" s="8"/>
      <c r="D756" s="8"/>
      <c r="I756" s="8"/>
      <c r="J756" s="8"/>
    </row>
    <row r="757">
      <c r="A757" s="8"/>
      <c r="B757" s="8" t="str">
        <f>IF(ISBLANK(A757),"",VLOOKUP(A757,DOI_URL!$B$1:$C$74,2,FALSE()))</f>
        <v/>
      </c>
      <c r="C757" s="8"/>
      <c r="D757" s="8"/>
      <c r="I757" s="8"/>
      <c r="J757" s="8"/>
    </row>
    <row r="758">
      <c r="A758" s="8"/>
      <c r="B758" s="8" t="str">
        <f>IF(ISBLANK(A758),"",VLOOKUP(A758,DOI_URL!$B$1:$C$74,2,FALSE()))</f>
        <v/>
      </c>
      <c r="C758" s="8"/>
      <c r="D758" s="8"/>
      <c r="I758" s="8"/>
      <c r="J758" s="8"/>
    </row>
    <row r="759">
      <c r="A759" s="8"/>
      <c r="B759" s="8" t="str">
        <f>IF(ISBLANK(A759),"",VLOOKUP(A759,DOI_URL!$B$1:$C$74,2,FALSE()))</f>
        <v/>
      </c>
      <c r="C759" s="8"/>
      <c r="D759" s="8"/>
      <c r="I759" s="8"/>
      <c r="J759" s="8"/>
    </row>
    <row r="760">
      <c r="A760" s="8"/>
      <c r="B760" s="8" t="str">
        <f>IF(ISBLANK(A760),"",VLOOKUP(A760,DOI_URL!$B$1:$C$74,2,FALSE()))</f>
        <v/>
      </c>
      <c r="C760" s="8"/>
      <c r="D760" s="8"/>
      <c r="I760" s="8"/>
      <c r="J760" s="8"/>
    </row>
    <row r="761">
      <c r="A761" s="8"/>
      <c r="B761" s="8" t="str">
        <f>IF(ISBLANK(A761),"",VLOOKUP(A761,DOI_URL!$B$1:$C$74,2,FALSE()))</f>
        <v/>
      </c>
      <c r="C761" s="8"/>
      <c r="D761" s="8"/>
      <c r="I761" s="8"/>
      <c r="J761" s="8"/>
    </row>
    <row r="762">
      <c r="A762" s="8"/>
      <c r="B762" s="8" t="str">
        <f>IF(ISBLANK(A762),"",VLOOKUP(A762,DOI_URL!$B$1:$C$74,2,FALSE()))</f>
        <v/>
      </c>
      <c r="C762" s="8"/>
      <c r="D762" s="8"/>
      <c r="I762" s="8"/>
      <c r="J762" s="8"/>
    </row>
    <row r="763">
      <c r="A763" s="8"/>
      <c r="B763" s="8" t="str">
        <f>IF(ISBLANK(A763),"",VLOOKUP(A763,DOI_URL!$B$1:$C$74,2,FALSE()))</f>
        <v/>
      </c>
      <c r="C763" s="8"/>
      <c r="D763" s="8"/>
      <c r="I763" s="8"/>
      <c r="J763" s="8"/>
    </row>
    <row r="764">
      <c r="A764" s="8"/>
      <c r="B764" s="8" t="str">
        <f>IF(ISBLANK(A764),"",VLOOKUP(A764,DOI_URL!$B$1:$C$74,2,FALSE()))</f>
        <v/>
      </c>
      <c r="C764" s="8"/>
      <c r="D764" s="8"/>
      <c r="I764" s="8"/>
      <c r="J764" s="8"/>
    </row>
    <row r="765">
      <c r="A765" s="8"/>
      <c r="B765" s="8" t="str">
        <f>IF(ISBLANK(A765),"",VLOOKUP(A765,DOI_URL!$B$1:$C$74,2,FALSE()))</f>
        <v/>
      </c>
      <c r="C765" s="8"/>
      <c r="D765" s="8"/>
      <c r="I765" s="8"/>
      <c r="J765" s="8"/>
    </row>
    <row r="766">
      <c r="A766" s="8"/>
      <c r="B766" s="8" t="str">
        <f>IF(ISBLANK(A766),"",VLOOKUP(A766,DOI_URL!$B$1:$C$74,2,FALSE()))</f>
        <v/>
      </c>
      <c r="C766" s="8"/>
      <c r="D766" s="8"/>
      <c r="I766" s="8"/>
      <c r="J766" s="8"/>
    </row>
    <row r="767">
      <c r="A767" s="8"/>
      <c r="B767" s="8" t="str">
        <f>IF(ISBLANK(A767),"",VLOOKUP(A767,DOI_URL!$B$1:$C$74,2,FALSE()))</f>
        <v/>
      </c>
      <c r="C767" s="8"/>
      <c r="D767" s="8"/>
      <c r="I767" s="8"/>
      <c r="J767" s="8"/>
    </row>
    <row r="768">
      <c r="A768" s="8"/>
      <c r="B768" s="8" t="str">
        <f>IF(ISBLANK(A768),"",VLOOKUP(A768,DOI_URL!$B$1:$C$74,2,FALSE()))</f>
        <v/>
      </c>
      <c r="C768" s="8"/>
      <c r="D768" s="8"/>
      <c r="I768" s="8"/>
      <c r="J768" s="8"/>
    </row>
    <row r="769">
      <c r="A769" s="8"/>
      <c r="B769" s="8" t="str">
        <f>IF(ISBLANK(A769),"",VLOOKUP(A769,DOI_URL!$B$1:$C$74,2,FALSE()))</f>
        <v/>
      </c>
      <c r="C769" s="8"/>
      <c r="D769" s="8"/>
      <c r="I769" s="8"/>
      <c r="J769" s="8"/>
    </row>
    <row r="770">
      <c r="A770" s="8"/>
      <c r="B770" s="8" t="str">
        <f>IF(ISBLANK(A770),"",VLOOKUP(A770,DOI_URL!$B$1:$C$74,2,FALSE()))</f>
        <v/>
      </c>
      <c r="C770" s="8"/>
      <c r="D770" s="8"/>
      <c r="I770" s="8"/>
      <c r="J770" s="8"/>
    </row>
    <row r="771">
      <c r="A771" s="8"/>
      <c r="B771" s="8" t="str">
        <f>IF(ISBLANK(A771),"",VLOOKUP(A771,DOI_URL!$B$1:$C$74,2,FALSE()))</f>
        <v/>
      </c>
      <c r="C771" s="8"/>
      <c r="D771" s="8"/>
      <c r="I771" s="8"/>
      <c r="J771" s="8"/>
    </row>
    <row r="772">
      <c r="A772" s="8"/>
      <c r="B772" s="8" t="str">
        <f>IF(ISBLANK(A772),"",VLOOKUP(A772,DOI_URL!$B$1:$C$74,2,FALSE()))</f>
        <v/>
      </c>
      <c r="C772" s="8"/>
      <c r="D772" s="8"/>
      <c r="I772" s="8"/>
      <c r="J772" s="8"/>
    </row>
    <row r="773">
      <c r="A773" s="8"/>
      <c r="B773" s="8" t="str">
        <f>IF(ISBLANK(A773),"",VLOOKUP(A773,DOI_URL!$B$1:$C$74,2,FALSE()))</f>
        <v/>
      </c>
      <c r="C773" s="8"/>
      <c r="D773" s="8"/>
      <c r="I773" s="8"/>
      <c r="J773" s="8"/>
    </row>
    <row r="774">
      <c r="A774" s="8"/>
      <c r="B774" s="8" t="str">
        <f>IF(ISBLANK(A774),"",VLOOKUP(A774,DOI_URL!$B$1:$C$74,2,FALSE()))</f>
        <v/>
      </c>
      <c r="C774" s="8"/>
      <c r="D774" s="8"/>
      <c r="I774" s="8"/>
      <c r="J774" s="8"/>
    </row>
    <row r="775">
      <c r="A775" s="8"/>
      <c r="B775" s="8" t="str">
        <f>IF(ISBLANK(A775),"",VLOOKUP(A775,DOI_URL!$B$1:$C$74,2,FALSE()))</f>
        <v/>
      </c>
      <c r="C775" s="8"/>
      <c r="D775" s="8"/>
      <c r="I775" s="8"/>
      <c r="J775" s="8"/>
    </row>
    <row r="776">
      <c r="A776" s="8"/>
      <c r="B776" s="8" t="str">
        <f>IF(ISBLANK(A776),"",VLOOKUP(A776,DOI_URL!$B$1:$C$74,2,FALSE()))</f>
        <v/>
      </c>
      <c r="C776" s="8"/>
      <c r="D776" s="8"/>
      <c r="I776" s="8"/>
      <c r="J776" s="8"/>
    </row>
    <row r="777">
      <c r="A777" s="8"/>
      <c r="B777" s="8" t="str">
        <f>IF(ISBLANK(A777),"",VLOOKUP(A777,DOI_URL!$B$1:$C$74,2,FALSE()))</f>
        <v/>
      </c>
      <c r="C777" s="8"/>
      <c r="D777" s="8"/>
      <c r="I777" s="8"/>
      <c r="J777" s="8"/>
    </row>
    <row r="778">
      <c r="A778" s="8"/>
      <c r="B778" s="8" t="str">
        <f>IF(ISBLANK(A778),"",VLOOKUP(A778,DOI_URL!$B$1:$C$74,2,FALSE()))</f>
        <v/>
      </c>
      <c r="C778" s="8"/>
      <c r="D778" s="8"/>
      <c r="I778" s="8"/>
      <c r="J778" s="8"/>
    </row>
    <row r="779">
      <c r="A779" s="8"/>
      <c r="B779" s="8" t="str">
        <f>IF(ISBLANK(A779),"",VLOOKUP(A779,DOI_URL!$B$1:$C$74,2,FALSE()))</f>
        <v/>
      </c>
      <c r="C779" s="8"/>
      <c r="D779" s="8"/>
      <c r="I779" s="8"/>
      <c r="J779" s="8"/>
    </row>
    <row r="780">
      <c r="A780" s="8"/>
      <c r="B780" s="8" t="str">
        <f>IF(ISBLANK(A780),"",VLOOKUP(A780,DOI_URL!$B$1:$C$74,2,FALSE()))</f>
        <v/>
      </c>
      <c r="C780" s="8"/>
      <c r="D780" s="8"/>
      <c r="I780" s="8"/>
      <c r="J780" s="8"/>
    </row>
    <row r="781">
      <c r="A781" s="8"/>
      <c r="B781" s="8" t="str">
        <f>IF(ISBLANK(A781),"",VLOOKUP(A781,DOI_URL!$B$1:$C$74,2,FALSE()))</f>
        <v/>
      </c>
      <c r="C781" s="8"/>
      <c r="D781" s="8"/>
      <c r="I781" s="8"/>
      <c r="J781" s="8"/>
    </row>
    <row r="782">
      <c r="A782" s="8"/>
      <c r="B782" s="8" t="str">
        <f>IF(ISBLANK(A782),"",VLOOKUP(A782,DOI_URL!$B$1:$C$74,2,FALSE()))</f>
        <v/>
      </c>
      <c r="C782" s="8"/>
      <c r="D782" s="8"/>
      <c r="I782" s="8"/>
      <c r="J782" s="8"/>
    </row>
    <row r="783">
      <c r="A783" s="8"/>
      <c r="B783" s="8" t="str">
        <f>IF(ISBLANK(A783),"",VLOOKUP(A783,DOI_URL!$B$1:$C$74,2,FALSE()))</f>
        <v/>
      </c>
      <c r="C783" s="8"/>
      <c r="D783" s="8"/>
      <c r="I783" s="8"/>
      <c r="J783" s="8"/>
    </row>
    <row r="784">
      <c r="A784" s="8"/>
      <c r="B784" s="8" t="str">
        <f>IF(ISBLANK(A784),"",VLOOKUP(A784,DOI_URL!$B$1:$C$74,2,FALSE()))</f>
        <v/>
      </c>
      <c r="C784" s="8"/>
      <c r="D784" s="8"/>
      <c r="I784" s="8"/>
      <c r="J784" s="8"/>
    </row>
    <row r="785">
      <c r="A785" s="8"/>
      <c r="B785" s="8" t="str">
        <f>IF(ISBLANK(A785),"",VLOOKUP(A785,DOI_URL!$B$1:$C$74,2,FALSE()))</f>
        <v/>
      </c>
      <c r="C785" s="8"/>
      <c r="D785" s="8"/>
      <c r="I785" s="8"/>
      <c r="J785" s="8"/>
    </row>
    <row r="786">
      <c r="A786" s="8"/>
      <c r="B786" s="8" t="str">
        <f>IF(ISBLANK(A786),"",VLOOKUP(A786,DOI_URL!$B$1:$C$74,2,FALSE()))</f>
        <v/>
      </c>
      <c r="C786" s="8"/>
      <c r="D786" s="8"/>
      <c r="I786" s="8"/>
      <c r="J786" s="8"/>
    </row>
    <row r="787">
      <c r="A787" s="8"/>
      <c r="B787" s="8" t="str">
        <f>IF(ISBLANK(A787),"",VLOOKUP(A787,DOI_URL!$B$1:$C$74,2,FALSE()))</f>
        <v/>
      </c>
      <c r="C787" s="8"/>
      <c r="D787" s="8"/>
      <c r="I787" s="8"/>
      <c r="J787" s="8"/>
    </row>
    <row r="788">
      <c r="A788" s="8"/>
      <c r="B788" s="8" t="str">
        <f>IF(ISBLANK(A788),"",VLOOKUP(A788,DOI_URL!$B$1:$C$74,2,FALSE()))</f>
        <v/>
      </c>
      <c r="C788" s="8"/>
      <c r="D788" s="8"/>
      <c r="I788" s="8"/>
      <c r="J788" s="8"/>
    </row>
    <row r="789">
      <c r="A789" s="8"/>
      <c r="B789" s="8" t="str">
        <f>IF(ISBLANK(A789),"",VLOOKUP(A789,DOI_URL!$B$1:$C$74,2,FALSE()))</f>
        <v/>
      </c>
      <c r="C789" s="8"/>
      <c r="D789" s="8"/>
      <c r="I789" s="8"/>
      <c r="J789" s="8"/>
    </row>
    <row r="790">
      <c r="A790" s="8"/>
      <c r="B790" s="8" t="str">
        <f>IF(ISBLANK(A790),"",VLOOKUP(A790,DOI_URL!$B$1:$C$74,2,FALSE()))</f>
        <v/>
      </c>
      <c r="C790" s="8"/>
      <c r="D790" s="8"/>
      <c r="I790" s="8"/>
      <c r="J790" s="8"/>
    </row>
    <row r="791">
      <c r="A791" s="8"/>
      <c r="B791" s="8" t="str">
        <f>IF(ISBLANK(A791),"",VLOOKUP(A791,DOI_URL!$B$1:$C$74,2,FALSE()))</f>
        <v/>
      </c>
      <c r="C791" s="8"/>
      <c r="D791" s="8"/>
      <c r="I791" s="8"/>
      <c r="J791" s="8"/>
    </row>
    <row r="792">
      <c r="A792" s="8"/>
      <c r="B792" s="8" t="str">
        <f>IF(ISBLANK(A792),"",VLOOKUP(A792,DOI_URL!$B$1:$C$74,2,FALSE()))</f>
        <v/>
      </c>
      <c r="C792" s="8"/>
      <c r="D792" s="8"/>
      <c r="I792" s="8"/>
      <c r="J792" s="8"/>
    </row>
    <row r="793">
      <c r="A793" s="8"/>
      <c r="B793" s="8" t="str">
        <f>IF(ISBLANK(A793),"",VLOOKUP(A793,DOI_URL!$B$1:$C$74,2,FALSE()))</f>
        <v/>
      </c>
      <c r="C793" s="8"/>
      <c r="D793" s="8"/>
      <c r="I793" s="8"/>
      <c r="J793" s="8"/>
    </row>
    <row r="794">
      <c r="A794" s="8"/>
      <c r="B794" s="8" t="str">
        <f>IF(ISBLANK(A794),"",VLOOKUP(A794,DOI_URL!$B$1:$C$74,2,FALSE()))</f>
        <v/>
      </c>
      <c r="C794" s="8"/>
      <c r="D794" s="8"/>
      <c r="I794" s="8"/>
      <c r="J794" s="8"/>
    </row>
    <row r="795">
      <c r="A795" s="8"/>
      <c r="B795" s="8" t="str">
        <f>IF(ISBLANK(A795),"",VLOOKUP(A795,DOI_URL!$B$1:$C$74,2,FALSE()))</f>
        <v/>
      </c>
      <c r="C795" s="8"/>
      <c r="D795" s="8"/>
      <c r="I795" s="8"/>
      <c r="J795" s="8"/>
    </row>
    <row r="796">
      <c r="A796" s="8"/>
      <c r="B796" s="8" t="str">
        <f>IF(ISBLANK(A796),"",VLOOKUP(A796,DOI_URL!$B$1:$C$74,2,FALSE()))</f>
        <v/>
      </c>
      <c r="C796" s="8"/>
      <c r="D796" s="8"/>
      <c r="I796" s="8"/>
      <c r="J796" s="8"/>
    </row>
    <row r="797">
      <c r="A797" s="8"/>
      <c r="B797" s="8" t="str">
        <f>IF(ISBLANK(A797),"",VLOOKUP(A797,DOI_URL!$B$1:$C$74,2,FALSE()))</f>
        <v/>
      </c>
      <c r="C797" s="8"/>
      <c r="D797" s="8"/>
      <c r="I797" s="8"/>
      <c r="J797" s="8"/>
    </row>
    <row r="798">
      <c r="A798" s="8"/>
      <c r="B798" s="8" t="str">
        <f>IF(ISBLANK(A798),"",VLOOKUP(A798,DOI_URL!$B$1:$C$74,2,FALSE()))</f>
        <v/>
      </c>
      <c r="C798" s="8"/>
      <c r="D798" s="8"/>
      <c r="I798" s="8"/>
      <c r="J798" s="8"/>
    </row>
    <row r="799">
      <c r="A799" s="8"/>
      <c r="B799" s="8" t="str">
        <f>IF(ISBLANK(A799),"",VLOOKUP(A799,DOI_URL!$B$1:$C$74,2,FALSE()))</f>
        <v/>
      </c>
      <c r="C799" s="8"/>
      <c r="D799" s="8"/>
      <c r="I799" s="8"/>
      <c r="J799" s="8"/>
    </row>
    <row r="800">
      <c r="A800" s="8"/>
      <c r="B800" s="8" t="str">
        <f>IF(ISBLANK(A800),"",VLOOKUP(A800,DOI_URL!$B$1:$C$74,2,FALSE()))</f>
        <v/>
      </c>
      <c r="C800" s="8"/>
      <c r="D800" s="8"/>
      <c r="I800" s="8"/>
      <c r="J800" s="8"/>
    </row>
    <row r="801">
      <c r="A801" s="8"/>
      <c r="B801" s="8" t="str">
        <f>IF(ISBLANK(A801),"",VLOOKUP(A801,DOI_URL!$B$1:$C$74,2,FALSE()))</f>
        <v/>
      </c>
      <c r="C801" s="8"/>
      <c r="D801" s="8"/>
      <c r="I801" s="8"/>
      <c r="J801" s="8"/>
    </row>
    <row r="802">
      <c r="A802" s="8"/>
      <c r="B802" s="8" t="str">
        <f>IF(ISBLANK(A802),"",VLOOKUP(A802,DOI_URL!$B$1:$C$74,2,FALSE()))</f>
        <v/>
      </c>
      <c r="C802" s="8"/>
      <c r="D802" s="8"/>
      <c r="I802" s="8"/>
      <c r="J802" s="8"/>
    </row>
    <row r="803">
      <c r="A803" s="8"/>
      <c r="B803" s="8" t="str">
        <f>IF(ISBLANK(A803),"",VLOOKUP(A803,DOI_URL!$B$1:$C$74,2,FALSE()))</f>
        <v/>
      </c>
      <c r="C803" s="8"/>
      <c r="D803" s="8"/>
      <c r="I803" s="8"/>
      <c r="J803" s="8"/>
    </row>
    <row r="804">
      <c r="A804" s="8"/>
      <c r="B804" s="8" t="str">
        <f>IF(ISBLANK(A804),"",VLOOKUP(A804,DOI_URL!$B$1:$C$74,2,FALSE()))</f>
        <v/>
      </c>
      <c r="C804" s="8"/>
      <c r="D804" s="8"/>
      <c r="I804" s="8"/>
      <c r="J804" s="8"/>
    </row>
    <row r="805">
      <c r="A805" s="8"/>
      <c r="B805" s="8" t="str">
        <f>IF(ISBLANK(A805),"",VLOOKUP(A805,DOI_URL!$B$1:$C$74,2,FALSE()))</f>
        <v/>
      </c>
      <c r="C805" s="8"/>
      <c r="D805" s="8"/>
      <c r="I805" s="8"/>
      <c r="J805" s="8"/>
    </row>
    <row r="806">
      <c r="A806" s="8"/>
      <c r="B806" s="8" t="str">
        <f>IF(ISBLANK(A806),"",VLOOKUP(A806,DOI_URL!$B$1:$C$74,2,FALSE()))</f>
        <v/>
      </c>
      <c r="C806" s="8"/>
      <c r="D806" s="8"/>
      <c r="I806" s="8"/>
      <c r="J806" s="8"/>
    </row>
    <row r="807">
      <c r="A807" s="8"/>
      <c r="B807" s="8" t="str">
        <f>IF(ISBLANK(A807),"",VLOOKUP(A807,DOI_URL!$B$1:$C$74,2,FALSE()))</f>
        <v/>
      </c>
      <c r="C807" s="8"/>
      <c r="D807" s="8"/>
      <c r="I807" s="8"/>
      <c r="J807" s="8"/>
    </row>
    <row r="808">
      <c r="A808" s="8"/>
      <c r="B808" s="8" t="str">
        <f>IF(ISBLANK(A808),"",VLOOKUP(A808,DOI_URL!$B$1:$C$74,2,FALSE()))</f>
        <v/>
      </c>
      <c r="C808" s="8"/>
      <c r="D808" s="8"/>
      <c r="I808" s="8"/>
      <c r="J808" s="8"/>
    </row>
    <row r="809">
      <c r="A809" s="8"/>
      <c r="B809" s="8" t="str">
        <f>IF(ISBLANK(A809),"",VLOOKUP(A809,DOI_URL!$B$1:$C$74,2,FALSE()))</f>
        <v/>
      </c>
      <c r="C809" s="8"/>
      <c r="D809" s="8"/>
      <c r="I809" s="8"/>
      <c r="J809" s="8"/>
    </row>
    <row r="810">
      <c r="A810" s="8"/>
      <c r="B810" s="8" t="str">
        <f>IF(ISBLANK(A810),"",VLOOKUP(A810,DOI_URL!$B$1:$C$74,2,FALSE()))</f>
        <v/>
      </c>
      <c r="C810" s="8"/>
      <c r="D810" s="8"/>
      <c r="I810" s="8"/>
      <c r="J810" s="8"/>
    </row>
    <row r="811">
      <c r="A811" s="8"/>
      <c r="B811" s="8" t="str">
        <f>IF(ISBLANK(A811),"",VLOOKUP(A811,DOI_URL!$B$1:$C$74,2,FALSE()))</f>
        <v/>
      </c>
      <c r="C811" s="8"/>
      <c r="D811" s="8"/>
      <c r="I811" s="8"/>
      <c r="J811" s="8"/>
    </row>
    <row r="812">
      <c r="A812" s="8"/>
      <c r="B812" s="8" t="str">
        <f>IF(ISBLANK(A812),"",VLOOKUP(A812,DOI_URL!$B$1:$C$74,2,FALSE()))</f>
        <v/>
      </c>
      <c r="C812" s="8"/>
      <c r="D812" s="8"/>
      <c r="I812" s="8"/>
      <c r="J812" s="8"/>
    </row>
    <row r="813">
      <c r="A813" s="8"/>
      <c r="B813" s="8" t="str">
        <f>IF(ISBLANK(A813),"",VLOOKUP(A813,DOI_URL!$B$1:$C$74,2,FALSE()))</f>
        <v/>
      </c>
      <c r="C813" s="8"/>
      <c r="D813" s="8"/>
      <c r="I813" s="8"/>
      <c r="J813" s="8"/>
    </row>
    <row r="814">
      <c r="A814" s="8"/>
      <c r="B814" s="8" t="str">
        <f>IF(ISBLANK(A814),"",VLOOKUP(A814,DOI_URL!$B$1:$C$74,2,FALSE()))</f>
        <v/>
      </c>
      <c r="C814" s="8"/>
      <c r="D814" s="8"/>
      <c r="I814" s="8"/>
      <c r="J814" s="8"/>
    </row>
    <row r="815">
      <c r="A815" s="8"/>
      <c r="B815" s="8" t="str">
        <f>IF(ISBLANK(A815),"",VLOOKUP(A815,DOI_URL!$B$1:$C$74,2,FALSE()))</f>
        <v/>
      </c>
      <c r="C815" s="8"/>
      <c r="D815" s="8"/>
      <c r="I815" s="8"/>
      <c r="J815" s="8"/>
    </row>
    <row r="816">
      <c r="A816" s="8"/>
      <c r="B816" s="8" t="str">
        <f>IF(ISBLANK(A816),"",VLOOKUP(A816,DOI_URL!$B$1:$C$74,2,FALSE()))</f>
        <v/>
      </c>
      <c r="C816" s="8"/>
      <c r="D816" s="8"/>
      <c r="I816" s="8"/>
      <c r="J816" s="8"/>
    </row>
    <row r="817">
      <c r="A817" s="8"/>
      <c r="B817" s="8" t="str">
        <f>IF(ISBLANK(A817),"",VLOOKUP(A817,DOI_URL!$B$1:$C$74,2,FALSE()))</f>
        <v/>
      </c>
      <c r="C817" s="8"/>
      <c r="D817" s="8"/>
      <c r="I817" s="8"/>
      <c r="J817" s="8"/>
    </row>
    <row r="818">
      <c r="A818" s="8"/>
      <c r="B818" s="8" t="str">
        <f>IF(ISBLANK(A818),"",VLOOKUP(A818,DOI_URL!$B$1:$C$74,2,FALSE()))</f>
        <v/>
      </c>
      <c r="C818" s="8"/>
      <c r="D818" s="8"/>
      <c r="I818" s="8"/>
      <c r="J818" s="8"/>
    </row>
    <row r="819">
      <c r="A819" s="8"/>
      <c r="B819" s="8" t="str">
        <f>IF(ISBLANK(A819),"",VLOOKUP(A819,DOI_URL!$B$1:$C$74,2,FALSE()))</f>
        <v/>
      </c>
      <c r="C819" s="8"/>
      <c r="D819" s="8"/>
      <c r="I819" s="8"/>
      <c r="J819" s="8"/>
    </row>
    <row r="820">
      <c r="A820" s="8"/>
      <c r="B820" s="8" t="str">
        <f>IF(ISBLANK(A820),"",VLOOKUP(A820,DOI_URL!$B$1:$C$74,2,FALSE()))</f>
        <v/>
      </c>
      <c r="C820" s="8"/>
      <c r="D820" s="8"/>
      <c r="I820" s="8"/>
      <c r="J820" s="8"/>
    </row>
    <row r="821">
      <c r="A821" s="8"/>
      <c r="B821" s="8" t="str">
        <f>IF(ISBLANK(A821),"",VLOOKUP(A821,DOI_URL!$B$1:$C$74,2,FALSE()))</f>
        <v/>
      </c>
      <c r="C821" s="8"/>
      <c r="D821" s="8"/>
      <c r="I821" s="8"/>
      <c r="J821" s="8"/>
    </row>
    <row r="822">
      <c r="A822" s="8"/>
      <c r="B822" s="8" t="str">
        <f>IF(ISBLANK(A822),"",VLOOKUP(A822,DOI_URL!$B$1:$C$74,2,FALSE()))</f>
        <v/>
      </c>
      <c r="C822" s="8"/>
      <c r="D822" s="8"/>
      <c r="I822" s="8"/>
      <c r="J822" s="8"/>
    </row>
    <row r="823">
      <c r="A823" s="8"/>
      <c r="B823" s="8" t="str">
        <f>IF(ISBLANK(A823),"",VLOOKUP(A823,DOI_URL!$B$1:$C$74,2,FALSE()))</f>
        <v/>
      </c>
      <c r="C823" s="8"/>
      <c r="D823" s="8"/>
      <c r="I823" s="8"/>
      <c r="J823" s="8"/>
    </row>
    <row r="824">
      <c r="A824" s="8"/>
      <c r="B824" s="8" t="str">
        <f>IF(ISBLANK(A824),"",VLOOKUP(A824,DOI_URL!$B$1:$C$74,2,FALSE()))</f>
        <v/>
      </c>
      <c r="C824" s="8"/>
      <c r="D824" s="8"/>
      <c r="I824" s="8"/>
      <c r="J824" s="8"/>
    </row>
    <row r="825">
      <c r="A825" s="8"/>
      <c r="B825" s="8" t="str">
        <f>IF(ISBLANK(A825),"",VLOOKUP(A825,DOI_URL!$B$1:$C$74,2,FALSE()))</f>
        <v/>
      </c>
      <c r="C825" s="8"/>
      <c r="D825" s="8"/>
      <c r="I825" s="8"/>
      <c r="J825" s="8"/>
    </row>
    <row r="826">
      <c r="A826" s="8"/>
      <c r="B826" s="8" t="str">
        <f>IF(ISBLANK(A826),"",VLOOKUP(A826,DOI_URL!$B$1:$C$74,2,FALSE()))</f>
        <v/>
      </c>
      <c r="C826" s="8"/>
      <c r="D826" s="8"/>
      <c r="I826" s="8"/>
      <c r="J826" s="8"/>
    </row>
    <row r="827">
      <c r="A827" s="8"/>
      <c r="B827" s="8" t="str">
        <f>IF(ISBLANK(A827),"",VLOOKUP(A827,DOI_URL!$B$1:$C$74,2,FALSE()))</f>
        <v/>
      </c>
      <c r="C827" s="8"/>
      <c r="D827" s="8"/>
      <c r="I827" s="8"/>
      <c r="J827" s="8"/>
    </row>
    <row r="828">
      <c r="A828" s="8"/>
      <c r="B828" s="8" t="str">
        <f>IF(ISBLANK(A828),"",VLOOKUP(A828,DOI_URL!$B$1:$C$74,2,FALSE()))</f>
        <v/>
      </c>
      <c r="C828" s="8"/>
      <c r="D828" s="8"/>
      <c r="I828" s="8"/>
      <c r="J828" s="8"/>
    </row>
    <row r="829">
      <c r="A829" s="8"/>
      <c r="B829" s="8" t="str">
        <f>IF(ISBLANK(A829),"",VLOOKUP(A829,DOI_URL!$B$1:$C$74,2,FALSE()))</f>
        <v/>
      </c>
      <c r="C829" s="8"/>
      <c r="D829" s="8"/>
      <c r="I829" s="8"/>
      <c r="J829" s="8"/>
    </row>
    <row r="830">
      <c r="A830" s="8"/>
      <c r="B830" s="8" t="str">
        <f>IF(ISBLANK(A830),"",VLOOKUP(A830,DOI_URL!$B$1:$C$74,2,FALSE()))</f>
        <v/>
      </c>
      <c r="C830" s="8"/>
      <c r="D830" s="8"/>
      <c r="I830" s="8"/>
      <c r="J830" s="8"/>
    </row>
    <row r="831">
      <c r="A831" s="8"/>
      <c r="B831" s="8" t="str">
        <f>IF(ISBLANK(A831),"",VLOOKUP(A831,DOI_URL!$B$1:$C$74,2,FALSE()))</f>
        <v/>
      </c>
      <c r="C831" s="8"/>
      <c r="D831" s="8"/>
      <c r="I831" s="8"/>
      <c r="J831" s="8"/>
    </row>
    <row r="832">
      <c r="A832" s="8"/>
      <c r="B832" s="8" t="str">
        <f>IF(ISBLANK(A832),"",VLOOKUP(A832,DOI_URL!$B$1:$C$74,2,FALSE()))</f>
        <v/>
      </c>
      <c r="C832" s="8"/>
      <c r="D832" s="8"/>
      <c r="I832" s="8"/>
      <c r="J832" s="8"/>
    </row>
    <row r="833">
      <c r="A833" s="8"/>
      <c r="B833" s="8" t="str">
        <f>IF(ISBLANK(A833),"",VLOOKUP(A833,DOI_URL!$B$1:$C$74,2,FALSE()))</f>
        <v/>
      </c>
      <c r="C833" s="8"/>
      <c r="D833" s="8"/>
      <c r="I833" s="8"/>
      <c r="J833" s="8"/>
    </row>
    <row r="834">
      <c r="A834" s="8"/>
      <c r="B834" s="8" t="str">
        <f>IF(ISBLANK(A834),"",VLOOKUP(A834,DOI_URL!$B$1:$C$74,2,FALSE()))</f>
        <v/>
      </c>
      <c r="C834" s="8"/>
      <c r="D834" s="8"/>
      <c r="I834" s="8"/>
      <c r="J834" s="8"/>
    </row>
    <row r="835">
      <c r="A835" s="8"/>
      <c r="B835" s="8" t="str">
        <f>IF(ISBLANK(A835),"",VLOOKUP(A835,DOI_URL!$B$1:$C$74,2,FALSE()))</f>
        <v/>
      </c>
      <c r="C835" s="8"/>
      <c r="D835" s="8"/>
      <c r="I835" s="8"/>
      <c r="J835" s="8"/>
    </row>
    <row r="836">
      <c r="A836" s="8"/>
      <c r="B836" s="8" t="str">
        <f>IF(ISBLANK(A836),"",VLOOKUP(A836,DOI_URL!$B$1:$C$74,2,FALSE()))</f>
        <v/>
      </c>
      <c r="C836" s="8"/>
      <c r="D836" s="8"/>
      <c r="I836" s="8"/>
      <c r="J836" s="8"/>
    </row>
    <row r="837">
      <c r="A837" s="8"/>
      <c r="B837" s="8" t="str">
        <f>IF(ISBLANK(A837),"",VLOOKUP(A837,DOI_URL!$B$1:$C$74,2,FALSE()))</f>
        <v/>
      </c>
      <c r="C837" s="8"/>
      <c r="D837" s="8"/>
      <c r="I837" s="8"/>
      <c r="J837" s="8"/>
    </row>
    <row r="838">
      <c r="A838" s="8"/>
      <c r="B838" s="8" t="str">
        <f>IF(ISBLANK(A838),"",VLOOKUP(A838,DOI_URL!$B$1:$C$74,2,FALSE()))</f>
        <v/>
      </c>
      <c r="C838" s="8"/>
      <c r="D838" s="8"/>
      <c r="I838" s="8"/>
      <c r="J838" s="8"/>
    </row>
    <row r="839">
      <c r="A839" s="8"/>
      <c r="B839" s="8" t="str">
        <f>IF(ISBLANK(A839),"",VLOOKUP(A839,DOI_URL!$B$1:$C$74,2,FALSE()))</f>
        <v/>
      </c>
      <c r="C839" s="8"/>
      <c r="D839" s="8"/>
      <c r="I839" s="8"/>
      <c r="J839" s="8"/>
    </row>
    <row r="840">
      <c r="A840" s="8"/>
      <c r="B840" s="8" t="str">
        <f>IF(ISBLANK(A840),"",VLOOKUP(A840,DOI_URL!$B$1:$C$74,2,FALSE()))</f>
        <v/>
      </c>
      <c r="C840" s="8"/>
      <c r="D840" s="8"/>
      <c r="I840" s="8"/>
      <c r="J840" s="8"/>
    </row>
    <row r="841">
      <c r="A841" s="8"/>
      <c r="B841" s="8" t="str">
        <f>IF(ISBLANK(A841),"",VLOOKUP(A841,DOI_URL!$B$1:$C$74,2,FALSE()))</f>
        <v/>
      </c>
      <c r="C841" s="8"/>
      <c r="D841" s="8"/>
      <c r="I841" s="8"/>
      <c r="J841" s="8"/>
    </row>
    <row r="842">
      <c r="A842" s="8"/>
      <c r="B842" s="8" t="str">
        <f>IF(ISBLANK(A842),"",VLOOKUP(A842,DOI_URL!$B$1:$C$74,2,FALSE()))</f>
        <v/>
      </c>
      <c r="C842" s="8"/>
      <c r="D842" s="8"/>
      <c r="I842" s="8"/>
      <c r="J842" s="8"/>
    </row>
    <row r="843">
      <c r="A843" s="8"/>
      <c r="B843" s="8" t="str">
        <f>IF(ISBLANK(A843),"",VLOOKUP(A843,DOI_URL!$B$1:$C$74,2,FALSE()))</f>
        <v/>
      </c>
      <c r="C843" s="8"/>
      <c r="D843" s="8"/>
      <c r="I843" s="8"/>
      <c r="J843" s="8"/>
    </row>
    <row r="844">
      <c r="A844" s="8"/>
      <c r="B844" s="8" t="str">
        <f>IF(ISBLANK(A844),"",VLOOKUP(A844,DOI_URL!$B$1:$C$74,2,FALSE()))</f>
        <v/>
      </c>
      <c r="C844" s="8"/>
      <c r="D844" s="8"/>
      <c r="I844" s="8"/>
      <c r="J844" s="8"/>
    </row>
    <row r="845">
      <c r="A845" s="8"/>
      <c r="B845" s="8" t="str">
        <f>IF(ISBLANK(A845),"",VLOOKUP(A845,DOI_URL!$B$1:$C$74,2,FALSE()))</f>
        <v/>
      </c>
      <c r="C845" s="8"/>
      <c r="D845" s="8"/>
      <c r="I845" s="8"/>
      <c r="J845" s="8"/>
    </row>
    <row r="846">
      <c r="A846" s="8"/>
      <c r="B846" s="8" t="str">
        <f>IF(ISBLANK(A846),"",VLOOKUP(A846,DOI_URL!$B$1:$C$74,2,FALSE()))</f>
        <v/>
      </c>
      <c r="C846" s="8"/>
      <c r="D846" s="8"/>
      <c r="I846" s="8"/>
      <c r="J846" s="8"/>
    </row>
    <row r="847">
      <c r="A847" s="8"/>
      <c r="B847" s="8" t="str">
        <f>IF(ISBLANK(A847),"",VLOOKUP(A847,DOI_URL!$B$1:$C$74,2,FALSE()))</f>
        <v/>
      </c>
      <c r="C847" s="8"/>
      <c r="D847" s="8"/>
      <c r="I847" s="8"/>
      <c r="J847" s="8"/>
    </row>
    <row r="848">
      <c r="A848" s="8"/>
      <c r="B848" s="8" t="str">
        <f>IF(ISBLANK(A848),"",VLOOKUP(A848,DOI_URL!$B$1:$C$74,2,FALSE()))</f>
        <v/>
      </c>
      <c r="C848" s="8"/>
      <c r="D848" s="8"/>
      <c r="I848" s="8"/>
      <c r="J848" s="8"/>
    </row>
    <row r="849">
      <c r="A849" s="8"/>
      <c r="B849" s="8" t="str">
        <f>IF(ISBLANK(A849),"",VLOOKUP(A849,DOI_URL!$B$1:$C$74,2,FALSE()))</f>
        <v/>
      </c>
      <c r="C849" s="8"/>
      <c r="D849" s="8"/>
      <c r="I849" s="8"/>
      <c r="J849" s="8"/>
    </row>
    <row r="850">
      <c r="A850" s="8"/>
      <c r="B850" s="8" t="str">
        <f>IF(ISBLANK(A850),"",VLOOKUP(A850,DOI_URL!$B$1:$C$74,2,FALSE()))</f>
        <v/>
      </c>
      <c r="C850" s="8"/>
      <c r="D850" s="8"/>
      <c r="I850" s="8"/>
      <c r="J850" s="8"/>
    </row>
    <row r="851">
      <c r="A851" s="8"/>
      <c r="B851" s="8" t="str">
        <f>IF(ISBLANK(A851),"",VLOOKUP(A851,DOI_URL!$B$1:$C$74,2,FALSE()))</f>
        <v/>
      </c>
      <c r="C851" s="8"/>
      <c r="D851" s="8"/>
      <c r="I851" s="8"/>
      <c r="J851" s="8"/>
    </row>
    <row r="852">
      <c r="A852" s="8"/>
      <c r="B852" s="8" t="str">
        <f>IF(ISBLANK(A852),"",VLOOKUP(A852,DOI_URL!$B$1:$C$74,2,FALSE()))</f>
        <v/>
      </c>
      <c r="C852" s="8"/>
      <c r="D852" s="8"/>
      <c r="I852" s="8"/>
      <c r="J852" s="8"/>
    </row>
    <row r="853">
      <c r="A853" s="8"/>
      <c r="B853" s="8" t="str">
        <f>IF(ISBLANK(A853),"",VLOOKUP(A853,DOI_URL!$B$1:$C$74,2,FALSE()))</f>
        <v/>
      </c>
      <c r="C853" s="8"/>
      <c r="D853" s="8"/>
      <c r="I853" s="8"/>
      <c r="J853" s="8"/>
    </row>
    <row r="854">
      <c r="A854" s="8"/>
      <c r="B854" s="8" t="str">
        <f>IF(ISBLANK(A854),"",VLOOKUP(A854,DOI_URL!$B$1:$C$74,2,FALSE()))</f>
        <v/>
      </c>
      <c r="C854" s="8"/>
      <c r="D854" s="8"/>
      <c r="I854" s="8"/>
      <c r="J854" s="8"/>
    </row>
    <row r="855">
      <c r="A855" s="8"/>
      <c r="B855" s="8" t="str">
        <f>IF(ISBLANK(A855),"",VLOOKUP(A855,DOI_URL!$B$1:$C$74,2,FALSE()))</f>
        <v/>
      </c>
      <c r="C855" s="8"/>
      <c r="D855" s="8"/>
      <c r="I855" s="8"/>
      <c r="J855" s="8"/>
    </row>
    <row r="856">
      <c r="A856" s="8"/>
      <c r="B856" s="8" t="str">
        <f>IF(ISBLANK(A856),"",VLOOKUP(A856,DOI_URL!$B$1:$C$74,2,FALSE()))</f>
        <v/>
      </c>
      <c r="C856" s="8"/>
      <c r="D856" s="8"/>
      <c r="I856" s="8"/>
      <c r="J856" s="8"/>
    </row>
    <row r="857">
      <c r="A857" s="8"/>
      <c r="B857" s="8" t="str">
        <f>IF(ISBLANK(A857),"",VLOOKUP(A857,DOI_URL!$B$1:$C$74,2,FALSE()))</f>
        <v/>
      </c>
      <c r="C857" s="8"/>
      <c r="D857" s="8"/>
      <c r="I857" s="8"/>
      <c r="J857" s="8"/>
    </row>
    <row r="858">
      <c r="A858" s="8"/>
      <c r="B858" s="8" t="str">
        <f>IF(ISBLANK(A858),"",VLOOKUP(A858,DOI_URL!$B$1:$C$74,2,FALSE()))</f>
        <v/>
      </c>
      <c r="C858" s="8"/>
      <c r="D858" s="8"/>
      <c r="I858" s="8"/>
      <c r="J858" s="8"/>
    </row>
    <row r="859">
      <c r="A859" s="8"/>
      <c r="B859" s="8" t="str">
        <f>IF(ISBLANK(A859),"",VLOOKUP(A859,DOI_URL!$B$1:$C$74,2,FALSE()))</f>
        <v/>
      </c>
      <c r="C859" s="8"/>
      <c r="D859" s="8"/>
      <c r="I859" s="8"/>
      <c r="J859" s="8"/>
    </row>
    <row r="860">
      <c r="A860" s="8"/>
      <c r="B860" s="8" t="str">
        <f>IF(ISBLANK(A860),"",VLOOKUP(A860,DOI_URL!$B$1:$C$74,2,FALSE()))</f>
        <v/>
      </c>
      <c r="C860" s="8"/>
      <c r="D860" s="8"/>
      <c r="I860" s="8"/>
      <c r="J860" s="8"/>
    </row>
    <row r="861">
      <c r="A861" s="8"/>
      <c r="B861" s="8" t="str">
        <f>IF(ISBLANK(A861),"",VLOOKUP(A861,DOI_URL!$B$1:$C$74,2,FALSE()))</f>
        <v/>
      </c>
      <c r="C861" s="8"/>
      <c r="D861" s="8"/>
      <c r="I861" s="8"/>
      <c r="J861" s="8"/>
    </row>
    <row r="862">
      <c r="A862" s="8"/>
      <c r="B862" s="8" t="str">
        <f>IF(ISBLANK(A862),"",VLOOKUP(A862,DOI_URL!$B$1:$C$74,2,FALSE()))</f>
        <v/>
      </c>
      <c r="C862" s="8"/>
      <c r="D862" s="8"/>
      <c r="I862" s="8"/>
      <c r="J862" s="8"/>
    </row>
    <row r="863">
      <c r="A863" s="8"/>
      <c r="B863" s="8" t="str">
        <f>IF(ISBLANK(A863),"",VLOOKUP(A863,DOI_URL!$B$1:$C$74,2,FALSE()))</f>
        <v/>
      </c>
      <c r="C863" s="8"/>
      <c r="D863" s="8"/>
      <c r="I863" s="8"/>
      <c r="J863" s="8"/>
    </row>
    <row r="864">
      <c r="A864" s="8"/>
      <c r="B864" s="8" t="str">
        <f>IF(ISBLANK(A864),"",VLOOKUP(A864,DOI_URL!$B$1:$C$74,2,FALSE()))</f>
        <v/>
      </c>
      <c r="C864" s="8"/>
      <c r="D864" s="8"/>
      <c r="I864" s="8"/>
      <c r="J864" s="8"/>
    </row>
    <row r="865">
      <c r="A865" s="8"/>
      <c r="B865" s="8" t="str">
        <f>IF(ISBLANK(A865),"",VLOOKUP(A865,DOI_URL!$B$1:$C$74,2,FALSE()))</f>
        <v/>
      </c>
      <c r="C865" s="8"/>
      <c r="D865" s="8"/>
      <c r="I865" s="8"/>
      <c r="J865" s="8"/>
    </row>
    <row r="866">
      <c r="A866" s="8"/>
      <c r="B866" s="8" t="str">
        <f>IF(ISBLANK(A866),"",VLOOKUP(A866,DOI_URL!$B$1:$C$74,2,FALSE()))</f>
        <v/>
      </c>
      <c r="C866" s="8"/>
      <c r="D866" s="8"/>
      <c r="I866" s="8"/>
      <c r="J866" s="8"/>
    </row>
    <row r="867">
      <c r="A867" s="8"/>
      <c r="B867" s="8" t="str">
        <f>IF(ISBLANK(A867),"",VLOOKUP(A867,DOI_URL!$B$1:$C$74,2,FALSE()))</f>
        <v/>
      </c>
      <c r="C867" s="8"/>
      <c r="D867" s="8"/>
      <c r="I867" s="8"/>
      <c r="J867" s="8"/>
    </row>
    <row r="868">
      <c r="A868" s="8"/>
      <c r="B868" s="8" t="str">
        <f>IF(ISBLANK(A868),"",VLOOKUP(A868,DOI_URL!$B$1:$C$74,2,FALSE()))</f>
        <v/>
      </c>
      <c r="C868" s="8"/>
      <c r="D868" s="8"/>
      <c r="I868" s="8"/>
      <c r="J868" s="8"/>
    </row>
    <row r="869">
      <c r="A869" s="8"/>
      <c r="B869" s="8" t="str">
        <f>IF(ISBLANK(A869),"",VLOOKUP(A869,DOI_URL!$B$1:$C$74,2,FALSE()))</f>
        <v/>
      </c>
      <c r="C869" s="8"/>
      <c r="D869" s="8"/>
      <c r="I869" s="8"/>
      <c r="J869" s="8"/>
    </row>
    <row r="870">
      <c r="A870" s="8"/>
      <c r="B870" s="8" t="str">
        <f>IF(ISBLANK(A870),"",VLOOKUP(A870,DOI_URL!$B$1:$C$74,2,FALSE()))</f>
        <v/>
      </c>
      <c r="C870" s="8"/>
      <c r="D870" s="8"/>
      <c r="I870" s="8"/>
      <c r="J870" s="8"/>
    </row>
    <row r="871">
      <c r="A871" s="8"/>
      <c r="B871" s="8" t="str">
        <f>IF(ISBLANK(A871),"",VLOOKUP(A871,DOI_URL!$B$1:$C$74,2,FALSE()))</f>
        <v/>
      </c>
      <c r="C871" s="8"/>
      <c r="D871" s="8"/>
      <c r="I871" s="8"/>
      <c r="J871" s="8"/>
    </row>
    <row r="872">
      <c r="A872" s="8"/>
      <c r="B872" s="8" t="str">
        <f>IF(ISBLANK(A872),"",VLOOKUP(A872,DOI_URL!$B$1:$C$74,2,FALSE()))</f>
        <v/>
      </c>
      <c r="C872" s="8"/>
      <c r="D872" s="8"/>
      <c r="I872" s="8"/>
      <c r="J872" s="8"/>
    </row>
    <row r="873">
      <c r="A873" s="8"/>
      <c r="B873" s="8" t="str">
        <f>IF(ISBLANK(A873),"",VLOOKUP(A873,DOI_URL!$B$1:$C$74,2,FALSE()))</f>
        <v/>
      </c>
      <c r="C873" s="8"/>
      <c r="D873" s="8"/>
      <c r="I873" s="8"/>
      <c r="J873" s="8"/>
    </row>
    <row r="874">
      <c r="A874" s="8"/>
      <c r="B874" s="8" t="str">
        <f>IF(ISBLANK(A874),"",VLOOKUP(A874,DOI_URL!$B$1:$C$74,2,FALSE()))</f>
        <v/>
      </c>
      <c r="C874" s="8"/>
      <c r="D874" s="8"/>
      <c r="I874" s="8"/>
      <c r="J874" s="8"/>
    </row>
    <row r="875">
      <c r="A875" s="8"/>
      <c r="B875" s="8" t="str">
        <f>IF(ISBLANK(A875),"",VLOOKUP(A875,DOI_URL!$B$1:$C$74,2,FALSE()))</f>
        <v/>
      </c>
      <c r="C875" s="8"/>
      <c r="D875" s="8"/>
      <c r="I875" s="8"/>
      <c r="J875" s="8"/>
    </row>
    <row r="876">
      <c r="A876" s="8"/>
      <c r="B876" s="8" t="str">
        <f>IF(ISBLANK(A876),"",VLOOKUP(A876,DOI_URL!$B$1:$C$74,2,FALSE()))</f>
        <v/>
      </c>
      <c r="C876" s="8"/>
      <c r="D876" s="8"/>
      <c r="I876" s="8"/>
      <c r="J876" s="8"/>
    </row>
    <row r="877">
      <c r="A877" s="8"/>
      <c r="B877" s="8" t="str">
        <f>IF(ISBLANK(A877),"",VLOOKUP(A877,DOI_URL!$B$1:$C$74,2,FALSE()))</f>
        <v/>
      </c>
      <c r="C877" s="8"/>
      <c r="D877" s="8"/>
      <c r="I877" s="8"/>
      <c r="J877" s="8"/>
    </row>
    <row r="878">
      <c r="A878" s="8"/>
      <c r="B878" s="8" t="str">
        <f>IF(ISBLANK(A878),"",VLOOKUP(A878,DOI_URL!$B$1:$C$74,2,FALSE()))</f>
        <v/>
      </c>
      <c r="C878" s="8"/>
      <c r="D878" s="8"/>
      <c r="I878" s="8"/>
      <c r="J878" s="8"/>
    </row>
    <row r="879">
      <c r="A879" s="8"/>
      <c r="B879" s="8" t="str">
        <f>IF(ISBLANK(A879),"",VLOOKUP(A879,DOI_URL!$B$1:$C$74,2,FALSE()))</f>
        <v/>
      </c>
      <c r="C879" s="8"/>
      <c r="D879" s="8"/>
      <c r="I879" s="8"/>
      <c r="J879" s="8"/>
    </row>
    <row r="880">
      <c r="A880" s="8"/>
      <c r="B880" s="8" t="str">
        <f>IF(ISBLANK(A880),"",VLOOKUP(A880,DOI_URL!$B$1:$C$74,2,FALSE()))</f>
        <v/>
      </c>
      <c r="C880" s="8"/>
      <c r="D880" s="8"/>
      <c r="I880" s="8"/>
      <c r="J880" s="8"/>
    </row>
    <row r="881">
      <c r="A881" s="8"/>
      <c r="B881" s="8" t="str">
        <f>IF(ISBLANK(A881),"",VLOOKUP(A881,DOI_URL!$B$1:$C$74,2,FALSE()))</f>
        <v/>
      </c>
      <c r="C881" s="8"/>
      <c r="D881" s="8"/>
      <c r="I881" s="8"/>
      <c r="J881" s="8"/>
    </row>
    <row r="882">
      <c r="A882" s="8"/>
      <c r="B882" s="8" t="str">
        <f>IF(ISBLANK(A882),"",VLOOKUP(A882,DOI_URL!$B$1:$C$74,2,FALSE()))</f>
        <v/>
      </c>
      <c r="C882" s="8"/>
      <c r="D882" s="8"/>
      <c r="I882" s="8"/>
      <c r="J882" s="8"/>
    </row>
    <row r="883">
      <c r="A883" s="8"/>
      <c r="B883" s="8" t="str">
        <f>IF(ISBLANK(A883),"",VLOOKUP(A883,DOI_URL!$B$1:$C$74,2,FALSE()))</f>
        <v/>
      </c>
      <c r="C883" s="8"/>
      <c r="D883" s="8"/>
      <c r="I883" s="8"/>
      <c r="J883" s="8"/>
    </row>
    <row r="884">
      <c r="A884" s="8"/>
      <c r="B884" s="8" t="str">
        <f>IF(ISBLANK(A884),"",VLOOKUP(A884,DOI_URL!$B$1:$C$74,2,FALSE()))</f>
        <v/>
      </c>
      <c r="C884" s="8"/>
      <c r="D884" s="8"/>
      <c r="I884" s="8"/>
      <c r="J884" s="8"/>
    </row>
    <row r="885">
      <c r="A885" s="8"/>
      <c r="B885" s="8" t="str">
        <f>IF(ISBLANK(A885),"",VLOOKUP(A885,DOI_URL!$B$1:$C$74,2,FALSE()))</f>
        <v/>
      </c>
      <c r="C885" s="8"/>
      <c r="D885" s="8"/>
      <c r="I885" s="8"/>
      <c r="J885" s="8"/>
    </row>
    <row r="886">
      <c r="A886" s="8"/>
      <c r="B886" s="8" t="str">
        <f>IF(ISBLANK(A886),"",VLOOKUP(A886,DOI_URL!$B$1:$C$74,2,FALSE()))</f>
        <v/>
      </c>
      <c r="C886" s="8"/>
      <c r="D886" s="8"/>
      <c r="I886" s="8"/>
      <c r="J886" s="8"/>
    </row>
    <row r="887">
      <c r="A887" s="8"/>
      <c r="B887" s="8" t="str">
        <f>IF(ISBLANK(A887),"",VLOOKUP(A887,DOI_URL!$B$1:$C$74,2,FALSE()))</f>
        <v/>
      </c>
      <c r="C887" s="8"/>
      <c r="D887" s="8"/>
      <c r="I887" s="8"/>
      <c r="J887" s="8"/>
    </row>
    <row r="888">
      <c r="A888" s="8"/>
      <c r="B888" s="8" t="str">
        <f>IF(ISBLANK(A888),"",VLOOKUP(A888,DOI_URL!$B$1:$C$74,2,FALSE()))</f>
        <v/>
      </c>
      <c r="C888" s="8"/>
      <c r="D888" s="8"/>
      <c r="I888" s="8"/>
      <c r="J888" s="8"/>
    </row>
    <row r="889">
      <c r="A889" s="8"/>
      <c r="B889" s="8" t="str">
        <f>IF(ISBLANK(A889),"",VLOOKUP(A889,DOI_URL!$B$1:$C$74,2,FALSE()))</f>
        <v/>
      </c>
      <c r="C889" s="8"/>
      <c r="D889" s="8"/>
      <c r="I889" s="8"/>
      <c r="J889" s="8"/>
    </row>
    <row r="890">
      <c r="A890" s="8"/>
      <c r="B890" s="8" t="str">
        <f>IF(ISBLANK(A890),"",VLOOKUP(A890,DOI_URL!$B$1:$C$74,2,FALSE()))</f>
        <v/>
      </c>
      <c r="C890" s="8"/>
      <c r="D890" s="8"/>
      <c r="I890" s="8"/>
      <c r="J890" s="8"/>
    </row>
    <row r="891">
      <c r="A891" s="8"/>
      <c r="B891" s="8" t="str">
        <f>IF(ISBLANK(A891),"",VLOOKUP(A891,DOI_URL!$B$1:$C$74,2,FALSE()))</f>
        <v/>
      </c>
      <c r="C891" s="8"/>
      <c r="D891" s="8"/>
      <c r="I891" s="8"/>
      <c r="J891" s="8"/>
    </row>
    <row r="892">
      <c r="A892" s="8"/>
      <c r="B892" s="8" t="str">
        <f>IF(ISBLANK(A892),"",VLOOKUP(A892,DOI_URL!$B$1:$C$74,2,FALSE()))</f>
        <v/>
      </c>
      <c r="C892" s="8"/>
      <c r="D892" s="8"/>
      <c r="I892" s="8"/>
      <c r="J892" s="8"/>
    </row>
    <row r="893">
      <c r="A893" s="8"/>
      <c r="B893" s="8" t="str">
        <f>IF(ISBLANK(A893),"",VLOOKUP(A893,DOI_URL!$B$1:$C$74,2,FALSE()))</f>
        <v/>
      </c>
      <c r="C893" s="8"/>
      <c r="D893" s="8"/>
      <c r="I893" s="8"/>
      <c r="J893" s="8"/>
    </row>
    <row r="894">
      <c r="A894" s="8"/>
      <c r="B894" s="8" t="str">
        <f>IF(ISBLANK(A894),"",VLOOKUP(A894,DOI_URL!$B$1:$C$74,2,FALSE()))</f>
        <v/>
      </c>
      <c r="C894" s="8"/>
      <c r="D894" s="8"/>
      <c r="I894" s="8"/>
      <c r="J894" s="8"/>
    </row>
    <row r="895">
      <c r="A895" s="8"/>
      <c r="B895" s="8" t="str">
        <f>IF(ISBLANK(A895),"",VLOOKUP(A895,DOI_URL!$B$1:$C$74,2,FALSE()))</f>
        <v/>
      </c>
      <c r="C895" s="8"/>
      <c r="D895" s="8"/>
      <c r="I895" s="8"/>
      <c r="J895" s="8"/>
    </row>
    <row r="896">
      <c r="A896" s="8"/>
      <c r="B896" s="8" t="str">
        <f>IF(ISBLANK(A896),"",VLOOKUP(A896,DOI_URL!$B$1:$C$74,2,FALSE()))</f>
        <v/>
      </c>
      <c r="C896" s="8"/>
      <c r="D896" s="8"/>
      <c r="I896" s="8"/>
      <c r="J896" s="8"/>
    </row>
    <row r="897">
      <c r="A897" s="8"/>
      <c r="B897" s="8" t="str">
        <f>IF(ISBLANK(A897),"",VLOOKUP(A897,DOI_URL!$B$1:$C$74,2,FALSE()))</f>
        <v/>
      </c>
      <c r="C897" s="8"/>
      <c r="D897" s="8"/>
      <c r="I897" s="8"/>
      <c r="J897" s="8"/>
    </row>
    <row r="898">
      <c r="A898" s="8"/>
      <c r="B898" s="8" t="str">
        <f>IF(ISBLANK(A898),"",VLOOKUP(A898,DOI_URL!$B$1:$C$74,2,FALSE()))</f>
        <v/>
      </c>
      <c r="C898" s="8"/>
      <c r="D898" s="8"/>
      <c r="I898" s="8"/>
      <c r="J898" s="8"/>
    </row>
    <row r="899">
      <c r="A899" s="8"/>
      <c r="B899" s="8" t="str">
        <f>IF(ISBLANK(A899),"",VLOOKUP(A899,DOI_URL!$B$1:$C$74,2,FALSE()))</f>
        <v/>
      </c>
      <c r="C899" s="8"/>
      <c r="D899" s="8"/>
      <c r="I899" s="8"/>
      <c r="J899" s="8"/>
    </row>
    <row r="900">
      <c r="A900" s="8"/>
      <c r="B900" s="8" t="str">
        <f>IF(ISBLANK(A900),"",VLOOKUP(A900,DOI_URL!$B$1:$C$74,2,FALSE()))</f>
        <v/>
      </c>
      <c r="C900" s="8"/>
      <c r="D900" s="8"/>
      <c r="I900" s="8"/>
      <c r="J900" s="8"/>
    </row>
    <row r="901">
      <c r="A901" s="8"/>
      <c r="B901" s="8" t="str">
        <f>IF(ISBLANK(A901),"",VLOOKUP(A901,DOI_URL!$B$1:$C$74,2,FALSE()))</f>
        <v/>
      </c>
      <c r="C901" s="8"/>
      <c r="D901" s="8"/>
      <c r="I901" s="8"/>
      <c r="J901" s="8"/>
    </row>
    <row r="902">
      <c r="A902" s="8"/>
      <c r="B902" s="8" t="str">
        <f>IF(ISBLANK(A902),"",VLOOKUP(A902,DOI_URL!$B$1:$C$74,2,FALSE()))</f>
        <v/>
      </c>
      <c r="C902" s="8"/>
      <c r="D902" s="8"/>
      <c r="I902" s="8"/>
      <c r="J902" s="8"/>
    </row>
    <row r="903">
      <c r="A903" s="8"/>
      <c r="B903" s="8" t="str">
        <f>IF(ISBLANK(A903),"",VLOOKUP(A903,DOI_URL!$B$1:$C$74,2,FALSE()))</f>
        <v/>
      </c>
      <c r="C903" s="8"/>
      <c r="D903" s="8"/>
      <c r="I903" s="8"/>
      <c r="J903" s="8"/>
    </row>
    <row r="904">
      <c r="A904" s="8"/>
      <c r="B904" s="8" t="str">
        <f>IF(ISBLANK(A904),"",VLOOKUP(A904,DOI_URL!$B$1:$C$74,2,FALSE()))</f>
        <v/>
      </c>
      <c r="C904" s="8"/>
      <c r="D904" s="8"/>
      <c r="I904" s="8"/>
      <c r="J904" s="8"/>
    </row>
    <row r="905">
      <c r="A905" s="8"/>
      <c r="B905" s="8" t="str">
        <f>IF(ISBLANK(A905),"",VLOOKUP(A905,DOI_URL!$B$1:$C$74,2,FALSE()))</f>
        <v/>
      </c>
      <c r="C905" s="8"/>
      <c r="D905" s="8"/>
      <c r="I905" s="8"/>
      <c r="J905" s="8"/>
    </row>
    <row r="906">
      <c r="A906" s="8"/>
      <c r="B906" s="8" t="str">
        <f>IF(ISBLANK(A906),"",VLOOKUP(A906,DOI_URL!$B$1:$C$74,2,FALSE()))</f>
        <v/>
      </c>
      <c r="C906" s="8"/>
      <c r="D906" s="8"/>
      <c r="I906" s="8"/>
      <c r="J906" s="8"/>
    </row>
    <row r="907">
      <c r="A907" s="8"/>
      <c r="B907" s="8" t="str">
        <f>IF(ISBLANK(A907),"",VLOOKUP(A907,DOI_URL!$B$1:$C$74,2,FALSE()))</f>
        <v/>
      </c>
      <c r="C907" s="8"/>
      <c r="D907" s="8"/>
      <c r="I907" s="8"/>
      <c r="J907" s="8"/>
    </row>
    <row r="908">
      <c r="A908" s="8"/>
      <c r="B908" s="8" t="str">
        <f>IF(ISBLANK(A908),"",VLOOKUP(A908,DOI_URL!$B$1:$C$74,2,FALSE()))</f>
        <v/>
      </c>
      <c r="C908" s="8"/>
      <c r="D908" s="8"/>
      <c r="I908" s="8"/>
      <c r="J908" s="8"/>
    </row>
    <row r="909">
      <c r="A909" s="8"/>
      <c r="B909" s="8" t="str">
        <f>IF(ISBLANK(A909),"",VLOOKUP(A909,DOI_URL!$B$1:$C$74,2,FALSE()))</f>
        <v/>
      </c>
      <c r="C909" s="8"/>
      <c r="D909" s="8"/>
      <c r="I909" s="8"/>
      <c r="J909" s="8"/>
    </row>
    <row r="910">
      <c r="A910" s="8"/>
      <c r="B910" s="8" t="str">
        <f>IF(ISBLANK(A910),"",VLOOKUP(A910,DOI_URL!$B$1:$C$74,2,FALSE()))</f>
        <v/>
      </c>
      <c r="C910" s="8"/>
      <c r="D910" s="8"/>
      <c r="I910" s="8"/>
      <c r="J910" s="8"/>
    </row>
    <row r="911">
      <c r="A911" s="8"/>
      <c r="B911" s="8" t="str">
        <f>IF(ISBLANK(A911),"",VLOOKUP(A911,DOI_URL!$B$1:$C$74,2,FALSE()))</f>
        <v/>
      </c>
      <c r="C911" s="8"/>
      <c r="D911" s="8"/>
      <c r="I911" s="8"/>
      <c r="J911" s="8"/>
    </row>
    <row r="912">
      <c r="A912" s="8"/>
      <c r="B912" s="8" t="str">
        <f>IF(ISBLANK(A912),"",VLOOKUP(A912,DOI_URL!$B$1:$C$74,2,FALSE()))</f>
        <v/>
      </c>
      <c r="C912" s="8"/>
      <c r="D912" s="8"/>
      <c r="I912" s="8"/>
      <c r="J912" s="8"/>
    </row>
    <row r="913">
      <c r="A913" s="8"/>
      <c r="B913" s="8" t="str">
        <f>IF(ISBLANK(A913),"",VLOOKUP(A913,DOI_URL!$B$1:$C$74,2,FALSE()))</f>
        <v/>
      </c>
      <c r="C913" s="8"/>
      <c r="D913" s="8"/>
      <c r="I913" s="8"/>
      <c r="J913" s="8"/>
    </row>
    <row r="914">
      <c r="A914" s="8"/>
      <c r="B914" s="8" t="str">
        <f>IF(ISBLANK(A914),"",VLOOKUP(A914,DOI_URL!$B$1:$C$74,2,FALSE()))</f>
        <v/>
      </c>
      <c r="C914" s="8"/>
      <c r="D914" s="8"/>
      <c r="I914" s="8"/>
      <c r="J914" s="8"/>
    </row>
    <row r="915">
      <c r="A915" s="8"/>
      <c r="B915" s="8" t="str">
        <f>IF(ISBLANK(A915),"",VLOOKUP(A915,DOI_URL!$B$1:$C$74,2,FALSE()))</f>
        <v/>
      </c>
      <c r="C915" s="8"/>
      <c r="D915" s="8"/>
      <c r="I915" s="8"/>
      <c r="J915" s="8"/>
    </row>
    <row r="916">
      <c r="A916" s="8"/>
      <c r="B916" s="8" t="str">
        <f>IF(ISBLANK(A916),"",VLOOKUP(A916,DOI_URL!$B$1:$C$74,2,FALSE()))</f>
        <v/>
      </c>
      <c r="C916" s="8"/>
      <c r="D916" s="8"/>
      <c r="I916" s="8"/>
      <c r="J916" s="8"/>
    </row>
    <row r="917">
      <c r="A917" s="8"/>
      <c r="B917" s="8" t="str">
        <f>IF(ISBLANK(A917),"",VLOOKUP(A917,DOI_URL!$B$1:$C$74,2,FALSE()))</f>
        <v/>
      </c>
      <c r="C917" s="8"/>
      <c r="D917" s="8"/>
      <c r="I917" s="8"/>
      <c r="J917" s="8"/>
    </row>
    <row r="918">
      <c r="A918" s="8"/>
      <c r="B918" s="8" t="str">
        <f>IF(ISBLANK(A918),"",VLOOKUP(A918,DOI_URL!$B$1:$C$74,2,FALSE()))</f>
        <v/>
      </c>
      <c r="C918" s="8"/>
      <c r="D918" s="8"/>
      <c r="I918" s="8"/>
      <c r="J918" s="8"/>
    </row>
    <row r="919">
      <c r="A919" s="8"/>
      <c r="B919" s="8" t="str">
        <f>IF(ISBLANK(A919),"",VLOOKUP(A919,DOI_URL!$B$1:$C$74,2,FALSE()))</f>
        <v/>
      </c>
      <c r="C919" s="8"/>
      <c r="D919" s="8"/>
      <c r="I919" s="8"/>
      <c r="J919" s="8"/>
    </row>
    <row r="920">
      <c r="A920" s="8"/>
      <c r="B920" s="8" t="str">
        <f>IF(ISBLANK(A920),"",VLOOKUP(A920,DOI_URL!$B$1:$C$74,2,FALSE()))</f>
        <v/>
      </c>
      <c r="C920" s="8"/>
      <c r="D920" s="8"/>
      <c r="I920" s="8"/>
      <c r="J920" s="8"/>
    </row>
    <row r="921">
      <c r="A921" s="8"/>
      <c r="B921" s="8" t="str">
        <f>IF(ISBLANK(A921),"",VLOOKUP(A921,DOI_URL!$B$1:$C$74,2,FALSE()))</f>
        <v/>
      </c>
      <c r="C921" s="8"/>
      <c r="D921" s="8"/>
      <c r="I921" s="8"/>
      <c r="J921" s="8"/>
    </row>
    <row r="922">
      <c r="A922" s="8"/>
      <c r="B922" s="8" t="str">
        <f>IF(ISBLANK(A922),"",VLOOKUP(A922,DOI_URL!$B$1:$C$74,2,FALSE()))</f>
        <v/>
      </c>
      <c r="C922" s="8"/>
      <c r="D922" s="8"/>
      <c r="I922" s="8"/>
      <c r="J922" s="8"/>
    </row>
    <row r="923">
      <c r="A923" s="8"/>
      <c r="B923" s="8" t="str">
        <f>IF(ISBLANK(A923),"",VLOOKUP(A923,DOI_URL!$B$1:$C$74,2,FALSE()))</f>
        <v/>
      </c>
      <c r="C923" s="8"/>
      <c r="D923" s="8"/>
      <c r="I923" s="8"/>
      <c r="J923" s="8"/>
    </row>
    <row r="924">
      <c r="A924" s="8"/>
      <c r="B924" s="8" t="str">
        <f>IF(ISBLANK(A924),"",VLOOKUP(A924,DOI_URL!$B$1:$C$74,2,FALSE()))</f>
        <v/>
      </c>
      <c r="C924" s="8"/>
      <c r="D924" s="8"/>
      <c r="I924" s="8"/>
      <c r="J924" s="8"/>
    </row>
    <row r="925">
      <c r="A925" s="8"/>
      <c r="B925" s="8" t="str">
        <f>IF(ISBLANK(A925),"",VLOOKUP(A925,DOI_URL!$B$1:$C$74,2,FALSE()))</f>
        <v/>
      </c>
      <c r="C925" s="8"/>
      <c r="D925" s="8"/>
      <c r="I925" s="8"/>
      <c r="J925" s="8"/>
    </row>
    <row r="926">
      <c r="A926" s="8"/>
      <c r="B926" s="8" t="str">
        <f>IF(ISBLANK(A926),"",VLOOKUP(A926,DOI_URL!$B$1:$C$74,2,FALSE()))</f>
        <v/>
      </c>
      <c r="C926" s="8"/>
      <c r="D926" s="8"/>
      <c r="I926" s="8"/>
      <c r="J926" s="8"/>
    </row>
    <row r="927">
      <c r="A927" s="8"/>
      <c r="B927" s="8" t="str">
        <f>IF(ISBLANK(A927),"",VLOOKUP(A927,DOI_URL!$B$1:$C$74,2,FALSE()))</f>
        <v/>
      </c>
      <c r="C927" s="8"/>
      <c r="D927" s="8"/>
      <c r="I927" s="8"/>
      <c r="J927" s="8"/>
    </row>
    <row r="928">
      <c r="A928" s="8"/>
      <c r="B928" s="8" t="str">
        <f>IF(ISBLANK(A928),"",VLOOKUP(A928,DOI_URL!$B$1:$C$74,2,FALSE()))</f>
        <v/>
      </c>
      <c r="C928" s="8"/>
      <c r="D928" s="8"/>
      <c r="I928" s="8"/>
      <c r="J928" s="8"/>
    </row>
    <row r="929">
      <c r="A929" s="8"/>
      <c r="B929" s="8" t="str">
        <f>IF(ISBLANK(A929),"",VLOOKUP(A929,DOI_URL!$B$1:$C$74,2,FALSE()))</f>
        <v/>
      </c>
      <c r="C929" s="8"/>
      <c r="D929" s="8"/>
      <c r="I929" s="8"/>
      <c r="J929" s="8"/>
    </row>
    <row r="930">
      <c r="A930" s="8"/>
      <c r="B930" s="8" t="str">
        <f>IF(ISBLANK(A930),"",VLOOKUP(A930,DOI_URL!$B$1:$C$74,2,FALSE()))</f>
        <v/>
      </c>
      <c r="C930" s="8"/>
      <c r="D930" s="8"/>
      <c r="I930" s="8"/>
      <c r="J930" s="8"/>
    </row>
    <row r="931">
      <c r="A931" s="8"/>
      <c r="B931" s="8" t="str">
        <f>IF(ISBLANK(A931),"",VLOOKUP(A931,DOI_URL!$B$1:$C$74,2,FALSE()))</f>
        <v/>
      </c>
      <c r="C931" s="8"/>
      <c r="D931" s="8"/>
      <c r="I931" s="8"/>
      <c r="J931" s="8"/>
    </row>
    <row r="932">
      <c r="A932" s="8"/>
      <c r="B932" s="8" t="str">
        <f>IF(ISBLANK(A932),"",VLOOKUP(A932,DOI_URL!$B$1:$C$74,2,FALSE()))</f>
        <v/>
      </c>
      <c r="C932" s="8"/>
      <c r="D932" s="8"/>
      <c r="I932" s="8"/>
      <c r="J932" s="8"/>
    </row>
    <row r="933">
      <c r="A933" s="8"/>
      <c r="B933" s="8" t="str">
        <f>IF(ISBLANK(A933),"",VLOOKUP(A933,DOI_URL!$B$1:$C$74,2,FALSE()))</f>
        <v/>
      </c>
      <c r="C933" s="8"/>
      <c r="D933" s="8"/>
      <c r="I933" s="8"/>
      <c r="J933" s="8"/>
    </row>
    <row r="934">
      <c r="A934" s="8"/>
      <c r="B934" s="8" t="str">
        <f>IF(ISBLANK(A934),"",VLOOKUP(A934,DOI_URL!$B$1:$C$74,2,FALSE()))</f>
        <v/>
      </c>
      <c r="C934" s="8"/>
      <c r="D934" s="8"/>
      <c r="I934" s="8"/>
      <c r="J934" s="8"/>
    </row>
    <row r="935">
      <c r="A935" s="8"/>
      <c r="B935" s="8" t="str">
        <f>IF(ISBLANK(A935),"",VLOOKUP(A935,DOI_URL!$B$1:$C$74,2,FALSE()))</f>
        <v/>
      </c>
      <c r="C935" s="8"/>
      <c r="D935" s="8"/>
      <c r="I935" s="8"/>
      <c r="J935" s="8"/>
    </row>
    <row r="936">
      <c r="A936" s="8"/>
      <c r="B936" s="8" t="str">
        <f>IF(ISBLANK(A936),"",VLOOKUP(A936,DOI_URL!$B$1:$C$74,2,FALSE()))</f>
        <v/>
      </c>
      <c r="C936" s="8"/>
      <c r="D936" s="8"/>
      <c r="I936" s="8"/>
      <c r="J936" s="8"/>
    </row>
    <row r="937">
      <c r="A937" s="8"/>
      <c r="B937" s="8" t="str">
        <f>IF(ISBLANK(A937),"",VLOOKUP(A937,DOI_URL!$B$1:$C$74,2,FALSE()))</f>
        <v/>
      </c>
      <c r="C937" s="8"/>
      <c r="D937" s="8"/>
      <c r="I937" s="8"/>
      <c r="J937" s="8"/>
    </row>
    <row r="938">
      <c r="A938" s="8"/>
      <c r="B938" s="8" t="str">
        <f>IF(ISBLANK(A938),"",VLOOKUP(A938,DOI_URL!$B$1:$C$74,2,FALSE()))</f>
        <v/>
      </c>
      <c r="C938" s="8"/>
      <c r="D938" s="8"/>
      <c r="I938" s="8"/>
      <c r="J938" s="8"/>
    </row>
    <row r="939">
      <c r="A939" s="8"/>
      <c r="B939" s="8" t="str">
        <f>IF(ISBLANK(A939),"",VLOOKUP(A939,DOI_URL!$B$1:$C$74,2,FALSE()))</f>
        <v/>
      </c>
      <c r="C939" s="8"/>
      <c r="D939" s="8"/>
      <c r="I939" s="8"/>
      <c r="J939" s="8"/>
    </row>
    <row r="940">
      <c r="A940" s="8"/>
      <c r="B940" s="8" t="str">
        <f>IF(ISBLANK(A940),"",VLOOKUP(A940,DOI_URL!$B$1:$C$74,2,FALSE()))</f>
        <v/>
      </c>
      <c r="C940" s="8"/>
      <c r="D940" s="8"/>
      <c r="I940" s="8"/>
      <c r="J940" s="8"/>
    </row>
    <row r="941">
      <c r="A941" s="8"/>
      <c r="B941" s="8" t="str">
        <f>IF(ISBLANK(A941),"",VLOOKUP(A941,DOI_URL!$B$1:$C$74,2,FALSE()))</f>
        <v/>
      </c>
      <c r="C941" s="8"/>
      <c r="D941" s="8"/>
      <c r="I941" s="8"/>
      <c r="J941" s="8"/>
    </row>
    <row r="942">
      <c r="A942" s="8"/>
      <c r="B942" s="8" t="str">
        <f>IF(ISBLANK(A942),"",VLOOKUP(A942,DOI_URL!$B$1:$C$74,2,FALSE()))</f>
        <v/>
      </c>
      <c r="C942" s="8"/>
      <c r="D942" s="8"/>
      <c r="I942" s="8"/>
      <c r="J942" s="8"/>
    </row>
    <row r="943">
      <c r="A943" s="8"/>
      <c r="B943" s="8" t="str">
        <f>IF(ISBLANK(A943),"",VLOOKUP(A943,DOI_URL!$B$1:$C$74,2,FALSE()))</f>
        <v/>
      </c>
      <c r="C943" s="8"/>
      <c r="D943" s="8"/>
      <c r="I943" s="8"/>
      <c r="J943" s="8"/>
    </row>
    <row r="944">
      <c r="A944" s="8"/>
      <c r="B944" s="8" t="str">
        <f>IF(ISBLANK(A944),"",VLOOKUP(A944,DOI_URL!$B$1:$C$74,2,FALSE()))</f>
        <v/>
      </c>
      <c r="C944" s="8"/>
      <c r="D944" s="8"/>
      <c r="I944" s="8"/>
      <c r="J944" s="8"/>
    </row>
    <row r="945">
      <c r="A945" s="8"/>
      <c r="B945" s="8" t="str">
        <f>IF(ISBLANK(A945),"",VLOOKUP(A945,DOI_URL!$B$1:$C$74,2,FALSE()))</f>
        <v/>
      </c>
      <c r="C945" s="8"/>
      <c r="D945" s="8"/>
      <c r="I945" s="8"/>
      <c r="J945" s="8"/>
    </row>
    <row r="946">
      <c r="A946" s="8"/>
      <c r="B946" s="8" t="str">
        <f>IF(ISBLANK(A946),"",VLOOKUP(A946,DOI_URL!$B$1:$C$74,2,FALSE()))</f>
        <v/>
      </c>
      <c r="C946" s="8"/>
      <c r="D946" s="8"/>
      <c r="I946" s="8"/>
      <c r="J946" s="8"/>
    </row>
    <row r="947">
      <c r="A947" s="8"/>
      <c r="B947" s="8" t="str">
        <f>IF(ISBLANK(A947),"",VLOOKUP(A947,DOI_URL!$B$1:$C$74,2,FALSE()))</f>
        <v/>
      </c>
      <c r="C947" s="8"/>
      <c r="D947" s="8"/>
      <c r="I947" s="8"/>
      <c r="J947" s="8"/>
    </row>
    <row r="948">
      <c r="A948" s="8"/>
      <c r="B948" s="8" t="str">
        <f>IF(ISBLANK(A948),"",VLOOKUP(A948,DOI_URL!$B$1:$C$74,2,FALSE()))</f>
        <v/>
      </c>
      <c r="C948" s="8"/>
      <c r="D948" s="8"/>
      <c r="I948" s="8"/>
      <c r="J948" s="8"/>
    </row>
    <row r="949">
      <c r="A949" s="8"/>
      <c r="B949" s="8" t="str">
        <f>IF(ISBLANK(A949),"",VLOOKUP(A949,DOI_URL!$B$1:$C$74,2,FALSE()))</f>
        <v/>
      </c>
      <c r="C949" s="8"/>
      <c r="D949" s="8"/>
      <c r="I949" s="8"/>
      <c r="J949" s="8"/>
    </row>
    <row r="950">
      <c r="A950" s="8"/>
      <c r="B950" s="8" t="str">
        <f>IF(ISBLANK(A950),"",VLOOKUP(A950,DOI_URL!$B$1:$C$74,2,FALSE()))</f>
        <v/>
      </c>
      <c r="C950" s="8"/>
      <c r="D950" s="8"/>
      <c r="I950" s="8"/>
      <c r="J950" s="8"/>
    </row>
    <row r="951">
      <c r="A951" s="8"/>
      <c r="B951" s="8" t="str">
        <f>IF(ISBLANK(A951),"",VLOOKUP(A951,DOI_URL!$B$1:$C$74,2,FALSE()))</f>
        <v/>
      </c>
      <c r="C951" s="8"/>
      <c r="D951" s="8"/>
      <c r="I951" s="8"/>
      <c r="J951" s="8"/>
    </row>
    <row r="952">
      <c r="A952" s="8"/>
      <c r="B952" s="8" t="str">
        <f>IF(ISBLANK(A952),"",VLOOKUP(A952,DOI_URL!$B$1:$C$74,2,FALSE()))</f>
        <v/>
      </c>
      <c r="C952" s="8"/>
      <c r="D952" s="8"/>
      <c r="I952" s="8"/>
      <c r="J952" s="8"/>
    </row>
    <row r="953">
      <c r="A953" s="8"/>
      <c r="B953" s="8" t="str">
        <f>IF(ISBLANK(A953),"",VLOOKUP(A953,DOI_URL!$B$1:$C$74,2,FALSE()))</f>
        <v/>
      </c>
      <c r="C953" s="8"/>
      <c r="D953" s="8"/>
      <c r="I953" s="8"/>
      <c r="J953" s="8"/>
    </row>
    <row r="954">
      <c r="A954" s="8"/>
      <c r="B954" s="8" t="str">
        <f>IF(ISBLANK(A954),"",VLOOKUP(A954,DOI_URL!$B$1:$C$74,2,FALSE()))</f>
        <v/>
      </c>
      <c r="C954" s="8"/>
      <c r="D954" s="8"/>
      <c r="I954" s="8"/>
      <c r="J954" s="8"/>
    </row>
    <row r="955">
      <c r="A955" s="8"/>
      <c r="B955" s="8" t="str">
        <f>IF(ISBLANK(A955),"",VLOOKUP(A955,DOI_URL!$B$1:$C$74,2,FALSE()))</f>
        <v/>
      </c>
      <c r="C955" s="8"/>
      <c r="D955" s="8"/>
      <c r="I955" s="8"/>
      <c r="J955" s="8"/>
    </row>
    <row r="956">
      <c r="A956" s="8"/>
      <c r="B956" s="8" t="str">
        <f>IF(ISBLANK(A956),"",VLOOKUP(A956,DOI_URL!$B$1:$C$74,2,FALSE()))</f>
        <v/>
      </c>
      <c r="C956" s="8"/>
      <c r="D956" s="8"/>
      <c r="I956" s="8"/>
      <c r="J956" s="8"/>
    </row>
    <row r="957">
      <c r="A957" s="8"/>
      <c r="B957" s="8" t="str">
        <f>IF(ISBLANK(A957),"",VLOOKUP(A957,DOI_URL!$B$1:$C$74,2,FALSE()))</f>
        <v/>
      </c>
      <c r="C957" s="8"/>
      <c r="D957" s="8"/>
      <c r="I957" s="8"/>
      <c r="J957" s="8"/>
    </row>
    <row r="958">
      <c r="A958" s="8"/>
      <c r="B958" s="8" t="str">
        <f>IF(ISBLANK(A958),"",VLOOKUP(A958,DOI_URL!$B$1:$C$74,2,FALSE()))</f>
        <v/>
      </c>
      <c r="C958" s="8"/>
      <c r="D958" s="8"/>
      <c r="I958" s="8"/>
      <c r="J958" s="8"/>
    </row>
    <row r="959">
      <c r="A959" s="8"/>
      <c r="B959" s="8" t="str">
        <f>IF(ISBLANK(A959),"",VLOOKUP(A959,DOI_URL!$B$1:$C$74,2,FALSE()))</f>
        <v/>
      </c>
      <c r="C959" s="8"/>
      <c r="D959" s="8"/>
      <c r="I959" s="8"/>
      <c r="J959" s="8"/>
    </row>
    <row r="960">
      <c r="A960" s="8"/>
      <c r="B960" s="8" t="str">
        <f>IF(ISBLANK(A960),"",VLOOKUP(A960,DOI_URL!$B$1:$C$74,2,FALSE()))</f>
        <v/>
      </c>
      <c r="C960" s="8"/>
      <c r="D960" s="8"/>
      <c r="I960" s="8"/>
      <c r="J960" s="8"/>
    </row>
    <row r="961">
      <c r="A961" s="8"/>
      <c r="B961" s="8" t="str">
        <f>IF(ISBLANK(A961),"",VLOOKUP(A961,DOI_URL!$B$1:$C$74,2,FALSE()))</f>
        <v/>
      </c>
      <c r="C961" s="8"/>
      <c r="D961" s="8"/>
      <c r="I961" s="8"/>
      <c r="J961" s="8"/>
    </row>
    <row r="962">
      <c r="A962" s="8"/>
      <c r="B962" s="8" t="str">
        <f>IF(ISBLANK(A962),"",VLOOKUP(A962,DOI_URL!$B$1:$C$74,2,FALSE()))</f>
        <v/>
      </c>
      <c r="C962" s="8"/>
      <c r="D962" s="8"/>
      <c r="I962" s="8"/>
      <c r="J962" s="8"/>
    </row>
    <row r="963">
      <c r="A963" s="8"/>
      <c r="B963" s="8" t="str">
        <f>IF(ISBLANK(A963),"",VLOOKUP(A963,DOI_URL!$B$1:$C$74,2,FALSE()))</f>
        <v/>
      </c>
      <c r="C963" s="8"/>
      <c r="D963" s="8"/>
      <c r="I963" s="8"/>
      <c r="J963" s="8"/>
    </row>
    <row r="964">
      <c r="A964" s="8"/>
      <c r="B964" s="8" t="str">
        <f>IF(ISBLANK(A964),"",VLOOKUP(A964,DOI_URL!$B$1:$C$74,2,FALSE()))</f>
        <v/>
      </c>
      <c r="C964" s="8"/>
      <c r="D964" s="8"/>
      <c r="I964" s="8"/>
      <c r="J964" s="8"/>
    </row>
    <row r="965">
      <c r="A965" s="8"/>
      <c r="B965" s="8" t="str">
        <f>IF(ISBLANK(A965),"",VLOOKUP(A965,DOI_URL!$B$1:$C$74,2,FALSE()))</f>
        <v/>
      </c>
      <c r="C965" s="8"/>
      <c r="D965" s="8"/>
      <c r="I965" s="8"/>
      <c r="J965" s="8"/>
    </row>
    <row r="966">
      <c r="A966" s="8"/>
      <c r="B966" s="8" t="str">
        <f>IF(ISBLANK(A966),"",VLOOKUP(A966,DOI_URL!$B$1:$C$74,2,FALSE()))</f>
        <v/>
      </c>
      <c r="C966" s="8"/>
      <c r="D966" s="8"/>
      <c r="I966" s="8"/>
      <c r="J966" s="8"/>
    </row>
    <row r="967">
      <c r="A967" s="8"/>
      <c r="B967" s="8" t="str">
        <f>IF(ISBLANK(A967),"",VLOOKUP(A967,DOI_URL!$B$1:$C$74,2,FALSE()))</f>
        <v/>
      </c>
      <c r="C967" s="8"/>
      <c r="D967" s="8"/>
      <c r="I967" s="8"/>
      <c r="J967" s="8"/>
    </row>
    <row r="968">
      <c r="A968" s="8"/>
      <c r="B968" s="8" t="str">
        <f>IF(ISBLANK(A968),"",VLOOKUP(A968,DOI_URL!$B$1:$C$74,2,FALSE()))</f>
        <v/>
      </c>
      <c r="C968" s="8"/>
      <c r="D968" s="8"/>
      <c r="I968" s="8"/>
      <c r="J968" s="8"/>
    </row>
    <row r="969">
      <c r="A969" s="8"/>
      <c r="B969" s="8" t="str">
        <f>IF(ISBLANK(A969),"",VLOOKUP(A969,DOI_URL!$B$1:$C$74,2,FALSE()))</f>
        <v/>
      </c>
      <c r="C969" s="8"/>
      <c r="D969" s="8"/>
      <c r="I969" s="8"/>
      <c r="J969" s="8"/>
    </row>
    <row r="970">
      <c r="A970" s="8"/>
      <c r="B970" s="8" t="str">
        <f>IF(ISBLANK(A970),"",VLOOKUP(A970,DOI_URL!$B$1:$C$74,2,FALSE()))</f>
        <v/>
      </c>
      <c r="C970" s="8"/>
      <c r="D970" s="8"/>
      <c r="I970" s="8"/>
      <c r="J970" s="8"/>
    </row>
    <row r="971">
      <c r="A971" s="8"/>
      <c r="B971" s="8" t="str">
        <f>IF(ISBLANK(A971),"",VLOOKUP(A971,DOI_URL!$B$1:$C$74,2,FALSE()))</f>
        <v/>
      </c>
      <c r="C971" s="8"/>
      <c r="D971" s="8"/>
      <c r="I971" s="8"/>
      <c r="J971" s="8"/>
    </row>
    <row r="972">
      <c r="A972" s="8"/>
      <c r="B972" s="8" t="str">
        <f>IF(ISBLANK(A972),"",VLOOKUP(A972,DOI_URL!$B$1:$C$74,2,FALSE()))</f>
        <v/>
      </c>
      <c r="C972" s="8"/>
      <c r="D972" s="8"/>
      <c r="I972" s="8"/>
      <c r="J972" s="8"/>
    </row>
    <row r="973">
      <c r="A973" s="8"/>
      <c r="B973" s="8" t="str">
        <f>IF(ISBLANK(A973),"",VLOOKUP(A973,DOI_URL!$B$1:$C$74,2,FALSE()))</f>
        <v/>
      </c>
      <c r="C973" s="8"/>
      <c r="D973" s="8"/>
      <c r="I973" s="8"/>
      <c r="J973" s="8"/>
    </row>
    <row r="974">
      <c r="A974" s="8"/>
      <c r="B974" s="8" t="str">
        <f>IF(ISBLANK(A974),"",VLOOKUP(A974,DOI_URL!$B$1:$C$74,2,FALSE()))</f>
        <v/>
      </c>
      <c r="C974" s="8"/>
      <c r="D974" s="8"/>
      <c r="I974" s="8"/>
      <c r="J974" s="8"/>
    </row>
    <row r="975">
      <c r="A975" s="8"/>
      <c r="B975" s="8" t="str">
        <f>IF(ISBLANK(A975),"",VLOOKUP(A975,DOI_URL!$B$1:$C$74,2,FALSE()))</f>
        <v/>
      </c>
      <c r="C975" s="8"/>
      <c r="D975" s="8"/>
      <c r="I975" s="8"/>
      <c r="J975" s="8"/>
    </row>
    <row r="976">
      <c r="A976" s="8"/>
      <c r="B976" s="8" t="str">
        <f>IF(ISBLANK(A976),"",VLOOKUP(A976,DOI_URL!$B$1:$C$74,2,FALSE()))</f>
        <v/>
      </c>
      <c r="C976" s="8"/>
      <c r="D976" s="8"/>
      <c r="I976" s="8"/>
      <c r="J976" s="8"/>
    </row>
    <row r="977">
      <c r="A977" s="8"/>
      <c r="B977" s="8" t="str">
        <f>IF(ISBLANK(A977),"",VLOOKUP(A977,DOI_URL!$B$1:$C$74,2,FALSE()))</f>
        <v/>
      </c>
      <c r="C977" s="8"/>
      <c r="D977" s="8"/>
      <c r="I977" s="8"/>
      <c r="J977" s="8"/>
    </row>
    <row r="978">
      <c r="A978" s="8"/>
      <c r="B978" s="8" t="str">
        <f>IF(ISBLANK(A978),"",VLOOKUP(A978,DOI_URL!$B$1:$C$74,2,FALSE()))</f>
        <v/>
      </c>
      <c r="C978" s="8"/>
      <c r="D978" s="8"/>
      <c r="I978" s="8"/>
      <c r="J978" s="8"/>
    </row>
    <row r="979">
      <c r="A979" s="8"/>
      <c r="B979" s="8" t="str">
        <f>IF(ISBLANK(A979),"",VLOOKUP(A979,DOI_URL!$B$1:$C$74,2,FALSE()))</f>
        <v/>
      </c>
      <c r="C979" s="8"/>
      <c r="D979" s="8"/>
      <c r="I979" s="8"/>
      <c r="J979" s="8"/>
    </row>
    <row r="980">
      <c r="A980" s="8"/>
      <c r="B980" s="8" t="str">
        <f>IF(ISBLANK(A980),"",VLOOKUP(A980,DOI_URL!$B$1:$C$74,2,FALSE()))</f>
        <v/>
      </c>
      <c r="C980" s="8"/>
      <c r="D980" s="8"/>
      <c r="I980" s="8"/>
      <c r="J980" s="8"/>
    </row>
  </sheetData>
  <dataValidations>
    <dataValidation type="list" allowBlank="1" showInputMessage="1" prompt="Haz clic e introduce un valor de intervalo 'General Taggs'!C2:C32" sqref="I2:I980">
      <formula1>'General Tags'!$D$2:$D$32</formula1>
    </dataValidation>
    <dataValidation type="list" allowBlank="1" sqref="A2:A980">
      <formula1>Assignment!$O$3:$O$59</formula1>
    </dataValidation>
    <dataValidation type="list" allowBlank="1" sqref="C2:C980">
      <formula1>'General Tags'!$B$2:$B$3</formula1>
    </dataValidation>
    <dataValidation type="list" allowBlank="1" sqref="D2:D980">
      <formula1>'General Tags'!$C$2:$C$3</formula1>
    </dataValidation>
    <dataValidation type="list" allowBlank="1" showInputMessage="1" showErrorMessage="1" prompt="Please, first add the SE task in the General tags page in column E" sqref="J2:J980">
      <formula1>'General Tags'!$F$2:$F$295</formula1>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13"/>
    <col customWidth="1" min="5" max="5" width="20.13"/>
    <col customWidth="1" min="6" max="6" width="21.63"/>
    <col customWidth="1" min="7" max="7" width="30.0"/>
    <col customWidth="1" min="8" max="8" width="103.13"/>
    <col customWidth="1" min="9" max="9" width="32.63"/>
    <col customWidth="1" min="10" max="10" width="19.63"/>
    <col customWidth="1" min="11" max="11" width="25.38"/>
  </cols>
  <sheetData>
    <row r="1" ht="35.25" customHeight="1">
      <c r="A1" s="172" t="s">
        <v>3329</v>
      </c>
      <c r="B1" s="176" t="s">
        <v>2636</v>
      </c>
      <c r="C1" s="158" t="s">
        <v>3330</v>
      </c>
      <c r="D1" s="158" t="s">
        <v>3307</v>
      </c>
      <c r="E1" s="158" t="s">
        <v>3331</v>
      </c>
      <c r="F1" s="158" t="s">
        <v>2</v>
      </c>
      <c r="G1" s="160" t="s">
        <v>3</v>
      </c>
      <c r="H1" s="173" t="s">
        <v>4</v>
      </c>
      <c r="I1" s="174" t="s">
        <v>5</v>
      </c>
      <c r="J1" s="159" t="s">
        <v>6</v>
      </c>
      <c r="K1" s="159" t="s">
        <v>7</v>
      </c>
    </row>
    <row r="2">
      <c r="A2" s="1" t="s">
        <v>514</v>
      </c>
      <c r="B2" s="87"/>
      <c r="C2" s="170" t="str">
        <f>IF(ISBLANK(A2),"",VLOOKUP(A2,DOI_URL!$B$1:$C$74,2,FALSE()))</f>
        <v>https://drive.google.com/file/d/1RzOhNqo2NAJh1a6rLvxjmfpe4Tvp0p8O/view?usp=sharing</v>
      </c>
      <c r="D2" s="1" t="s">
        <v>3309</v>
      </c>
      <c r="E2" s="1" t="s">
        <v>3311</v>
      </c>
      <c r="J2" s="8"/>
      <c r="K2" s="8"/>
      <c r="L2" s="1" t="s">
        <v>3547</v>
      </c>
    </row>
    <row r="3">
      <c r="A3" s="1" t="s">
        <v>1775</v>
      </c>
      <c r="B3" s="87"/>
      <c r="C3" s="170" t="str">
        <f>IF(ISBLANK(A3),"",VLOOKUP(A3,DOI_URL!$B$1:$C$74,2,FALSE()))</f>
        <v>https://drive.google.com/file/d/1yEKbey6JQnyK7s3LQOq8AXdpC4l74-JF/view?usp=sharing</v>
      </c>
      <c r="D3" s="1" t="s">
        <v>3311</v>
      </c>
      <c r="E3" s="1" t="s">
        <v>3311</v>
      </c>
      <c r="F3" s="1" t="s">
        <v>3548</v>
      </c>
      <c r="G3" s="1" t="s">
        <v>1794</v>
      </c>
      <c r="H3" s="55" t="s">
        <v>1795</v>
      </c>
      <c r="J3" s="1" t="s">
        <v>14</v>
      </c>
      <c r="K3" s="1" t="s">
        <v>1780</v>
      </c>
    </row>
    <row r="4">
      <c r="A4" s="1" t="s">
        <v>1775</v>
      </c>
      <c r="B4" s="87"/>
      <c r="C4" s="170" t="str">
        <f>IF(ISBLANK(A4),"",VLOOKUP(A4,DOI_URL!$B$1:$C$74,2,FALSE()))</f>
        <v>https://drive.google.com/file/d/1yEKbey6JQnyK7s3LQOq8AXdpC4l74-JF/view?usp=sharing</v>
      </c>
      <c r="D4" s="1" t="s">
        <v>3311</v>
      </c>
      <c r="E4" s="1" t="s">
        <v>3311</v>
      </c>
      <c r="F4" s="1" t="s">
        <v>3549</v>
      </c>
      <c r="H4" s="1" t="s">
        <v>3082</v>
      </c>
      <c r="J4" s="1" t="s">
        <v>44</v>
      </c>
      <c r="K4" s="1" t="s">
        <v>1780</v>
      </c>
    </row>
    <row r="5">
      <c r="A5" s="1" t="s">
        <v>1775</v>
      </c>
      <c r="B5" s="87"/>
      <c r="C5" s="170" t="str">
        <f>IF(ISBLANK(A5),"",VLOOKUP(A5,DOI_URL!$B$1:$C$74,2,FALSE()))</f>
        <v>https://drive.google.com/file/d/1yEKbey6JQnyK7s3LQOq8AXdpC4l74-JF/view?usp=sharing</v>
      </c>
      <c r="D5" s="1" t="s">
        <v>3311</v>
      </c>
      <c r="E5" s="1" t="s">
        <v>3311</v>
      </c>
      <c r="F5" s="1" t="s">
        <v>3550</v>
      </c>
      <c r="G5" s="1" t="s">
        <v>872</v>
      </c>
      <c r="H5" s="1" t="s">
        <v>1786</v>
      </c>
      <c r="J5" s="1" t="s">
        <v>39</v>
      </c>
      <c r="K5" s="1" t="s">
        <v>1780</v>
      </c>
    </row>
    <row r="6">
      <c r="A6" s="1" t="s">
        <v>1775</v>
      </c>
      <c r="B6" s="177"/>
      <c r="C6" s="170" t="str">
        <f>IF(ISBLANK(A6),"",VLOOKUP(A6,DOI_URL!$B$1:$C$74,2,FALSE()))</f>
        <v>https://drive.google.com/file/d/1yEKbey6JQnyK7s3LQOq8AXdpC4l74-JF/view?usp=sharing</v>
      </c>
      <c r="D6" s="1" t="s">
        <v>3311</v>
      </c>
      <c r="E6" s="1" t="s">
        <v>3311</v>
      </c>
      <c r="F6" s="1" t="s">
        <v>3551</v>
      </c>
      <c r="H6" s="1" t="s">
        <v>1789</v>
      </c>
      <c r="J6" s="1" t="s">
        <v>39</v>
      </c>
      <c r="K6" s="1" t="s">
        <v>1780</v>
      </c>
    </row>
    <row r="7">
      <c r="A7" s="1" t="s">
        <v>1775</v>
      </c>
      <c r="B7" s="177"/>
      <c r="C7" s="170" t="str">
        <f>IF(ISBLANK(A7),"",VLOOKUP(A7,DOI_URL!$B$1:$C$74,2,FALSE()))</f>
        <v>https://drive.google.com/file/d/1yEKbey6JQnyK7s3LQOq8AXdpC4l74-JF/view?usp=sharing</v>
      </c>
      <c r="D7" s="1" t="s">
        <v>3311</v>
      </c>
      <c r="E7" s="1" t="s">
        <v>3311</v>
      </c>
      <c r="F7" s="1" t="s">
        <v>3552</v>
      </c>
      <c r="G7" s="1" t="s">
        <v>872</v>
      </c>
      <c r="H7" s="1" t="s">
        <v>1791</v>
      </c>
      <c r="J7" s="1" t="s">
        <v>39</v>
      </c>
      <c r="K7" s="1" t="s">
        <v>1780</v>
      </c>
    </row>
    <row r="8">
      <c r="A8" s="1" t="s">
        <v>1775</v>
      </c>
      <c r="B8" s="177"/>
      <c r="C8" s="170" t="str">
        <f>IF(ISBLANK(A8),"",VLOOKUP(A8,DOI_URL!$B$1:$C$74,2,FALSE()))</f>
        <v>https://drive.google.com/file/d/1yEKbey6JQnyK7s3LQOq8AXdpC4l74-JF/view?usp=sharing</v>
      </c>
      <c r="D8" s="1" t="s">
        <v>3311</v>
      </c>
      <c r="E8" s="1" t="s">
        <v>3311</v>
      </c>
      <c r="F8" s="1" t="s">
        <v>3553</v>
      </c>
      <c r="G8" s="1" t="s">
        <v>1654</v>
      </c>
      <c r="H8" s="1" t="s">
        <v>1797</v>
      </c>
      <c r="J8" s="1" t="s">
        <v>2388</v>
      </c>
      <c r="K8" s="1" t="s">
        <v>1780</v>
      </c>
    </row>
    <row r="9">
      <c r="A9" s="1" t="s">
        <v>2091</v>
      </c>
      <c r="B9" s="177"/>
      <c r="C9" s="170" t="str">
        <f>IF(ISBLANK(A9),"",VLOOKUP(A9,DOI_URL!$B$1:$C$74,2,FALSE()))</f>
        <v>https://drive.google.com/file/d/1HY1W3shMasu_iqB9m2DZ_pK0Sv2yXMhG/view?usp=sharing</v>
      </c>
      <c r="D9" s="1" t="s">
        <v>3311</v>
      </c>
      <c r="E9" s="1" t="s">
        <v>3311</v>
      </c>
      <c r="F9" s="1" t="s">
        <v>2092</v>
      </c>
      <c r="G9" s="1" t="s">
        <v>2093</v>
      </c>
      <c r="H9" s="1" t="s">
        <v>2094</v>
      </c>
      <c r="I9" s="1" t="s">
        <v>3254</v>
      </c>
      <c r="J9" s="1" t="s">
        <v>14</v>
      </c>
      <c r="K9" s="1" t="s">
        <v>830</v>
      </c>
    </row>
    <row r="10">
      <c r="A10" s="1" t="s">
        <v>2091</v>
      </c>
      <c r="B10" s="177"/>
      <c r="C10" s="170" t="str">
        <f>IF(ISBLANK(A10),"",VLOOKUP(A10,DOI_URL!$B$1:$C$74,2,FALSE()))</f>
        <v>https://drive.google.com/file/d/1HY1W3shMasu_iqB9m2DZ_pK0Sv2yXMhG/view?usp=sharing</v>
      </c>
      <c r="D10" s="1" t="s">
        <v>3311</v>
      </c>
      <c r="E10" s="1" t="s">
        <v>3311</v>
      </c>
      <c r="F10" s="1" t="s">
        <v>2092</v>
      </c>
      <c r="G10" s="1" t="s">
        <v>2097</v>
      </c>
      <c r="H10" s="1" t="s">
        <v>2098</v>
      </c>
      <c r="I10" s="1" t="s">
        <v>2099</v>
      </c>
      <c r="J10" s="1" t="s">
        <v>14</v>
      </c>
      <c r="K10" s="1" t="s">
        <v>830</v>
      </c>
    </row>
    <row r="11">
      <c r="A11" s="1" t="s">
        <v>2091</v>
      </c>
      <c r="B11" s="177"/>
      <c r="C11" s="170" t="str">
        <f>IF(ISBLANK(A11),"",VLOOKUP(A11,DOI_URL!$B$1:$C$74,2,FALSE()))</f>
        <v>https://drive.google.com/file/d/1HY1W3shMasu_iqB9m2DZ_pK0Sv2yXMhG/view?usp=sharing</v>
      </c>
      <c r="D11" s="1" t="s">
        <v>3311</v>
      </c>
      <c r="E11" s="1" t="s">
        <v>3311</v>
      </c>
      <c r="F11" s="1" t="s">
        <v>2118</v>
      </c>
      <c r="G11" s="1" t="s">
        <v>2119</v>
      </c>
      <c r="H11" s="1" t="s">
        <v>2120</v>
      </c>
      <c r="I11" s="1" t="s">
        <v>3255</v>
      </c>
      <c r="J11" s="1" t="s">
        <v>44</v>
      </c>
      <c r="K11" s="1" t="s">
        <v>830</v>
      </c>
    </row>
    <row r="12">
      <c r="A12" s="1" t="s">
        <v>2091</v>
      </c>
      <c r="B12" s="177"/>
      <c r="C12" s="170" t="str">
        <f>IF(ISBLANK(A12),"",VLOOKUP(A12,DOI_URL!$B$1:$C$74,2,FALSE()))</f>
        <v>https://drive.google.com/file/d/1HY1W3shMasu_iqB9m2DZ_pK0Sv2yXMhG/view?usp=sharing</v>
      </c>
      <c r="D12" s="1" t="s">
        <v>3311</v>
      </c>
      <c r="E12" s="1" t="s">
        <v>3311</v>
      </c>
      <c r="F12" s="1" t="s">
        <v>2118</v>
      </c>
      <c r="G12" s="1" t="s">
        <v>2123</v>
      </c>
      <c r="H12" s="1" t="s">
        <v>3256</v>
      </c>
      <c r="I12" s="1" t="s">
        <v>3255</v>
      </c>
      <c r="J12" s="1" t="s">
        <v>20</v>
      </c>
      <c r="K12" s="1" t="s">
        <v>830</v>
      </c>
    </row>
    <row r="13">
      <c r="A13" s="1" t="s">
        <v>2091</v>
      </c>
      <c r="B13" s="177"/>
      <c r="C13" s="170" t="str">
        <f>IF(ISBLANK(A13),"",VLOOKUP(A13,DOI_URL!$B$1:$C$74,2,FALSE()))</f>
        <v>https://drive.google.com/file/d/1HY1W3shMasu_iqB9m2DZ_pK0Sv2yXMhG/view?usp=sharing</v>
      </c>
      <c r="D13" s="1" t="s">
        <v>3311</v>
      </c>
      <c r="E13" s="1" t="s">
        <v>3311</v>
      </c>
      <c r="F13" s="1" t="s">
        <v>2118</v>
      </c>
      <c r="G13" s="1" t="s">
        <v>2123</v>
      </c>
      <c r="H13" s="1" t="s">
        <v>3257</v>
      </c>
      <c r="I13" s="1" t="s">
        <v>3258</v>
      </c>
      <c r="J13" s="1" t="s">
        <v>44</v>
      </c>
      <c r="K13" s="1" t="s">
        <v>830</v>
      </c>
    </row>
    <row r="14">
      <c r="A14" s="1" t="s">
        <v>2091</v>
      </c>
      <c r="B14" s="177"/>
      <c r="C14" s="170" t="str">
        <f>IF(ISBLANK(A14),"",VLOOKUP(A14,DOI_URL!$B$1:$C$74,2,FALSE()))</f>
        <v>https://drive.google.com/file/d/1HY1W3shMasu_iqB9m2DZ_pK0Sv2yXMhG/view?usp=sharing</v>
      </c>
      <c r="D14" s="1" t="s">
        <v>3311</v>
      </c>
      <c r="E14" s="1" t="s">
        <v>3311</v>
      </c>
      <c r="F14" s="1" t="s">
        <v>2131</v>
      </c>
      <c r="G14" s="1" t="s">
        <v>3259</v>
      </c>
      <c r="H14" s="1" t="s">
        <v>3260</v>
      </c>
      <c r="I14" s="1" t="s">
        <v>3261</v>
      </c>
      <c r="J14" s="1" t="s">
        <v>39</v>
      </c>
      <c r="K14" s="1" t="s">
        <v>830</v>
      </c>
    </row>
    <row r="15">
      <c r="A15" s="1" t="s">
        <v>2091</v>
      </c>
      <c r="B15" s="177"/>
      <c r="C15" s="170" t="str">
        <f>IF(ISBLANK(A15),"",VLOOKUP(A15,DOI_URL!$B$1:$C$74,2,FALSE()))</f>
        <v>https://drive.google.com/file/d/1HY1W3shMasu_iqB9m2DZ_pK0Sv2yXMhG/view?usp=sharing</v>
      </c>
      <c r="D15" s="1" t="s">
        <v>3311</v>
      </c>
      <c r="E15" s="1" t="s">
        <v>3311</v>
      </c>
      <c r="F15" s="1" t="s">
        <v>2138</v>
      </c>
      <c r="H15" s="1" t="s">
        <v>3554</v>
      </c>
      <c r="J15" s="1" t="s">
        <v>39</v>
      </c>
      <c r="K15" s="1" t="s">
        <v>830</v>
      </c>
    </row>
    <row r="16">
      <c r="A16" s="1" t="s">
        <v>1774</v>
      </c>
      <c r="B16" s="177"/>
      <c r="C16" s="170" t="str">
        <f>IF(ISBLANK(A16),"",VLOOKUP(A16,DOI_URL!$B$1:$C$74,2,FALSE()))</f>
        <v>https://drive.google.com/file/d/1hkk_OsJCnV7fnKKv1xHgex5Vj35Bzz74/view?usp=sharing</v>
      </c>
      <c r="D16" s="1" t="s">
        <v>3309</v>
      </c>
      <c r="E16" s="1" t="s">
        <v>3311</v>
      </c>
      <c r="J16" s="8"/>
      <c r="K16" s="8"/>
      <c r="L16" s="1" t="s">
        <v>3555</v>
      </c>
    </row>
    <row r="17">
      <c r="A17" s="1" t="s">
        <v>1618</v>
      </c>
      <c r="B17" s="177"/>
      <c r="C17" s="170" t="str">
        <f>IF(ISBLANK(A17),"",VLOOKUP(A17,DOI_URL!$B$1:$C$74,2,FALSE()))</f>
        <v>https://drive.google.com/file/d/1XmPK7ct4E8dIqUnV93yb1YVmoRFCLUp6/view?usp=sharing</v>
      </c>
      <c r="D17" s="1" t="s">
        <v>3311</v>
      </c>
      <c r="E17" s="1" t="s">
        <v>3311</v>
      </c>
      <c r="F17" s="1" t="s">
        <v>3556</v>
      </c>
      <c r="H17" s="1" t="s">
        <v>1634</v>
      </c>
      <c r="J17" s="1" t="s">
        <v>44</v>
      </c>
      <c r="K17" s="1" t="s">
        <v>289</v>
      </c>
    </row>
    <row r="18">
      <c r="A18" s="1" t="s">
        <v>1618</v>
      </c>
      <c r="B18" s="177"/>
      <c r="C18" s="170" t="str">
        <f>IF(ISBLANK(A18),"",VLOOKUP(A18,DOI_URL!$B$1:$C$74,2,FALSE()))</f>
        <v>https://drive.google.com/file/d/1XmPK7ct4E8dIqUnV93yb1YVmoRFCLUp6/view?usp=sharing</v>
      </c>
      <c r="D18" s="1" t="s">
        <v>3311</v>
      </c>
      <c r="E18" s="1" t="s">
        <v>3311</v>
      </c>
      <c r="F18" s="1" t="s">
        <v>3557</v>
      </c>
      <c r="H18" s="1" t="s">
        <v>1636</v>
      </c>
      <c r="I18" s="1" t="s">
        <v>1637</v>
      </c>
      <c r="J18" s="1" t="s">
        <v>39</v>
      </c>
      <c r="K18" s="1" t="s">
        <v>289</v>
      </c>
    </row>
    <row r="19">
      <c r="A19" s="1" t="s">
        <v>1618</v>
      </c>
      <c r="B19" s="177"/>
      <c r="C19" s="170" t="str">
        <f>IF(ISBLANK(A19),"",VLOOKUP(A19,DOI_URL!$B$1:$C$74,2,FALSE()))</f>
        <v>https://drive.google.com/file/d/1XmPK7ct4E8dIqUnV93yb1YVmoRFCLUp6/view?usp=sharing</v>
      </c>
      <c r="D19" s="1" t="s">
        <v>3311</v>
      </c>
      <c r="E19" s="1" t="s">
        <v>3311</v>
      </c>
      <c r="F19" s="1" t="s">
        <v>3558</v>
      </c>
      <c r="G19" s="1" t="s">
        <v>1654</v>
      </c>
      <c r="H19" s="1" t="s">
        <v>1655</v>
      </c>
      <c r="J19" s="1" t="s">
        <v>39</v>
      </c>
      <c r="K19" s="1" t="s">
        <v>289</v>
      </c>
    </row>
    <row r="20">
      <c r="A20" s="1" t="s">
        <v>1618</v>
      </c>
      <c r="B20" s="177"/>
      <c r="C20" s="170" t="str">
        <f>IF(ISBLANK(A20),"",VLOOKUP(A20,DOI_URL!$B$1:$C$74,2,FALSE()))</f>
        <v>https://drive.google.com/file/d/1XmPK7ct4E8dIqUnV93yb1YVmoRFCLUp6/view?usp=sharing</v>
      </c>
      <c r="D20" s="1" t="s">
        <v>3311</v>
      </c>
      <c r="E20" s="1" t="s">
        <v>3311</v>
      </c>
      <c r="F20" s="1" t="s">
        <v>3559</v>
      </c>
      <c r="G20" s="1" t="s">
        <v>1649</v>
      </c>
      <c r="H20" s="1" t="s">
        <v>1650</v>
      </c>
      <c r="I20" s="1" t="s">
        <v>1651</v>
      </c>
      <c r="J20" s="1" t="s">
        <v>39</v>
      </c>
      <c r="K20" s="1" t="s">
        <v>289</v>
      </c>
    </row>
    <row r="21">
      <c r="A21" s="1" t="s">
        <v>1618</v>
      </c>
      <c r="B21" s="177"/>
      <c r="C21" s="170" t="str">
        <f>IF(ISBLANK(A21),"",VLOOKUP(A21,DOI_URL!$B$1:$C$74,2,FALSE()))</f>
        <v>https://drive.google.com/file/d/1XmPK7ct4E8dIqUnV93yb1YVmoRFCLUp6/view?usp=sharing</v>
      </c>
      <c r="D21" s="1" t="s">
        <v>3311</v>
      </c>
      <c r="E21" s="1" t="s">
        <v>3311</v>
      </c>
      <c r="F21" s="1" t="s">
        <v>3558</v>
      </c>
      <c r="G21" s="1" t="s">
        <v>1649</v>
      </c>
      <c r="H21" s="1" t="s">
        <v>1652</v>
      </c>
      <c r="I21" s="1" t="s">
        <v>3042</v>
      </c>
      <c r="J21" s="1" t="s">
        <v>39</v>
      </c>
      <c r="K21" s="1" t="s">
        <v>289</v>
      </c>
    </row>
    <row r="22">
      <c r="A22" s="1" t="s">
        <v>1618</v>
      </c>
      <c r="B22" s="177"/>
      <c r="C22" s="170" t="str">
        <f>IF(ISBLANK(A22),"",VLOOKUP(A22,DOI_URL!$B$1:$C$74,2,FALSE()))</f>
        <v>https://drive.google.com/file/d/1XmPK7ct4E8dIqUnV93yb1YVmoRFCLUp6/view?usp=sharing</v>
      </c>
      <c r="D22" s="1" t="s">
        <v>3311</v>
      </c>
      <c r="E22" s="1" t="s">
        <v>3311</v>
      </c>
      <c r="F22" s="1" t="s">
        <v>3560</v>
      </c>
      <c r="G22" s="1" t="s">
        <v>1649</v>
      </c>
      <c r="H22" s="1" t="s">
        <v>3043</v>
      </c>
      <c r="I22" s="1" t="s">
        <v>3044</v>
      </c>
      <c r="J22" s="1" t="s">
        <v>39</v>
      </c>
      <c r="K22" s="1" t="s">
        <v>289</v>
      </c>
    </row>
    <row r="23">
      <c r="A23" s="1" t="s">
        <v>1618</v>
      </c>
      <c r="B23" s="177"/>
      <c r="C23" s="170" t="str">
        <f>IF(ISBLANK(A23),"",VLOOKUP(A23,DOI_URL!$B$1:$C$74,2,FALSE()))</f>
        <v>https://drive.google.com/file/d/1XmPK7ct4E8dIqUnV93yb1YVmoRFCLUp6/view?usp=sharing</v>
      </c>
      <c r="D23" s="1" t="s">
        <v>3311</v>
      </c>
      <c r="E23" s="1" t="s">
        <v>3311</v>
      </c>
      <c r="F23" s="1" t="s">
        <v>3561</v>
      </c>
      <c r="G23" s="1" t="s">
        <v>1649</v>
      </c>
      <c r="H23" s="1" t="s">
        <v>3046</v>
      </c>
      <c r="I23" s="1" t="s">
        <v>3047</v>
      </c>
      <c r="J23" s="1" t="s">
        <v>39</v>
      </c>
      <c r="K23" s="1" t="s">
        <v>289</v>
      </c>
    </row>
    <row r="24">
      <c r="A24" s="1" t="s">
        <v>1618</v>
      </c>
      <c r="B24" s="177"/>
      <c r="C24" s="170" t="str">
        <f>IF(ISBLANK(A24),"",VLOOKUP(A24,DOI_URL!$B$1:$C$74,2,FALSE()))</f>
        <v>https://drive.google.com/file/d/1XmPK7ct4E8dIqUnV93yb1YVmoRFCLUp6/view?usp=sharing</v>
      </c>
      <c r="D24" s="1" t="s">
        <v>3311</v>
      </c>
      <c r="E24" s="1" t="s">
        <v>3311</v>
      </c>
      <c r="F24" s="1" t="s">
        <v>3562</v>
      </c>
      <c r="H24" s="1" t="s">
        <v>3563</v>
      </c>
      <c r="I24" s="1" t="s">
        <v>1659</v>
      </c>
      <c r="J24" s="1" t="s">
        <v>39</v>
      </c>
      <c r="K24" s="1" t="s">
        <v>289</v>
      </c>
    </row>
    <row r="25">
      <c r="A25" s="1" t="s">
        <v>1618</v>
      </c>
      <c r="B25" s="177"/>
      <c r="C25" s="170" t="str">
        <f>IF(ISBLANK(A25),"",VLOOKUP(A25,DOI_URL!$B$1:$C$74,2,FALSE()))</f>
        <v>https://drive.google.com/file/d/1XmPK7ct4E8dIqUnV93yb1YVmoRFCLUp6/view?usp=sharing</v>
      </c>
      <c r="D25" s="1" t="s">
        <v>3311</v>
      </c>
      <c r="E25" s="1" t="s">
        <v>3311</v>
      </c>
      <c r="F25" s="1" t="s">
        <v>3564</v>
      </c>
      <c r="G25" s="1" t="s">
        <v>872</v>
      </c>
      <c r="H25" s="1" t="s">
        <v>1669</v>
      </c>
      <c r="I25" s="1" t="s">
        <v>1670</v>
      </c>
      <c r="J25" s="1" t="s">
        <v>14</v>
      </c>
      <c r="K25" s="1" t="s">
        <v>289</v>
      </c>
    </row>
    <row r="26">
      <c r="A26" s="1" t="s">
        <v>2147</v>
      </c>
      <c r="B26" s="177"/>
      <c r="C26" s="170" t="str">
        <f>IF(ISBLANK(A26),"",VLOOKUP(A26,DOI_URL!$B$1:$C$74,2,FALSE()))</f>
        <v>https://drive.google.com/file/d/1E-xeEypEbEkFzmpuI75RxInyKrCmt0Y4/view?usp=sharing</v>
      </c>
      <c r="D26" s="1" t="s">
        <v>3311</v>
      </c>
      <c r="E26" s="1" t="s">
        <v>3311</v>
      </c>
      <c r="F26" s="1" t="s">
        <v>2195</v>
      </c>
      <c r="G26" s="1" t="s">
        <v>872</v>
      </c>
      <c r="H26" s="1" t="s">
        <v>3565</v>
      </c>
      <c r="J26" s="1" t="s">
        <v>39</v>
      </c>
      <c r="K26" s="1" t="s">
        <v>2188</v>
      </c>
    </row>
    <row r="27">
      <c r="A27" s="1" t="s">
        <v>2147</v>
      </c>
      <c r="B27" s="177"/>
      <c r="C27" s="170" t="str">
        <f>IF(ISBLANK(A27),"",VLOOKUP(A27,DOI_URL!$B$1:$C$74,2,FALSE()))</f>
        <v>https://drive.google.com/file/d/1E-xeEypEbEkFzmpuI75RxInyKrCmt0Y4/view?usp=sharing</v>
      </c>
      <c r="D27" s="1" t="s">
        <v>3311</v>
      </c>
      <c r="E27" s="1" t="s">
        <v>3311</v>
      </c>
      <c r="F27" s="1" t="s">
        <v>2192</v>
      </c>
      <c r="H27" s="1" t="s">
        <v>2193</v>
      </c>
      <c r="J27" s="1" t="s">
        <v>39</v>
      </c>
      <c r="K27" s="1" t="s">
        <v>2188</v>
      </c>
    </row>
    <row r="28">
      <c r="A28" s="1" t="s">
        <v>2147</v>
      </c>
      <c r="B28" s="177"/>
      <c r="C28" s="170" t="str">
        <f>IF(ISBLANK(A28),"",VLOOKUP(A28,DOI_URL!$B$1:$C$74,2,FALSE()))</f>
        <v>https://drive.google.com/file/d/1E-xeEypEbEkFzmpuI75RxInyKrCmt0Y4/view?usp=sharing</v>
      </c>
      <c r="D28" s="1" t="s">
        <v>3311</v>
      </c>
      <c r="E28" s="1" t="s">
        <v>3311</v>
      </c>
      <c r="F28" s="1" t="s">
        <v>3277</v>
      </c>
      <c r="H28" s="1" t="s">
        <v>3278</v>
      </c>
      <c r="I28" s="1" t="s">
        <v>3279</v>
      </c>
      <c r="J28" s="1" t="s">
        <v>39</v>
      </c>
      <c r="K28" s="1" t="s">
        <v>2188</v>
      </c>
    </row>
    <row r="29">
      <c r="A29" s="1" t="s">
        <v>2147</v>
      </c>
      <c r="B29" s="177"/>
      <c r="C29" s="170" t="str">
        <f>IF(ISBLANK(A29),"",VLOOKUP(A29,DOI_URL!$B$1:$C$74,2,FALSE()))</f>
        <v>https://drive.google.com/file/d/1E-xeEypEbEkFzmpuI75RxInyKrCmt0Y4/view?usp=sharing</v>
      </c>
      <c r="D29" s="1" t="s">
        <v>3311</v>
      </c>
      <c r="E29" s="1" t="s">
        <v>3311</v>
      </c>
      <c r="F29" s="1" t="s">
        <v>3280</v>
      </c>
      <c r="G29" s="1" t="s">
        <v>1649</v>
      </c>
      <c r="H29" s="1" t="s">
        <v>3281</v>
      </c>
      <c r="I29" s="1" t="s">
        <v>3282</v>
      </c>
      <c r="J29" s="1" t="s">
        <v>39</v>
      </c>
      <c r="K29" s="1" t="s">
        <v>2188</v>
      </c>
    </row>
    <row r="30">
      <c r="A30" s="1" t="s">
        <v>2147</v>
      </c>
      <c r="B30" s="177"/>
      <c r="C30" s="170" t="str">
        <f>IF(ISBLANK(A30),"",VLOOKUP(A30,DOI_URL!$B$1:$C$74,2,FALSE()))</f>
        <v>https://drive.google.com/file/d/1E-xeEypEbEkFzmpuI75RxInyKrCmt0Y4/view?usp=sharing</v>
      </c>
      <c r="D30" s="1" t="s">
        <v>3311</v>
      </c>
      <c r="E30" s="1" t="s">
        <v>3311</v>
      </c>
      <c r="F30" s="1" t="s">
        <v>2185</v>
      </c>
      <c r="H30" s="1" t="s">
        <v>2186</v>
      </c>
      <c r="J30" s="1" t="s">
        <v>39</v>
      </c>
      <c r="K30" s="1" t="s">
        <v>2188</v>
      </c>
    </row>
    <row r="31">
      <c r="A31" s="1" t="s">
        <v>2147</v>
      </c>
      <c r="B31" s="177"/>
      <c r="C31" s="170" t="str">
        <f>IF(ISBLANK(A31),"",VLOOKUP(A31,DOI_URL!$B$1:$C$74,2,FALSE()))</f>
        <v>https://drive.google.com/file/d/1E-xeEypEbEkFzmpuI75RxInyKrCmt0Y4/view?usp=sharing</v>
      </c>
      <c r="D31" s="1" t="s">
        <v>3311</v>
      </c>
      <c r="E31" s="1" t="s">
        <v>3311</v>
      </c>
      <c r="F31" s="1" t="s">
        <v>2185</v>
      </c>
      <c r="H31" s="1" t="s">
        <v>2190</v>
      </c>
      <c r="I31" s="1" t="s">
        <v>3284</v>
      </c>
      <c r="J31" s="1" t="s">
        <v>39</v>
      </c>
      <c r="K31" s="1" t="s">
        <v>2188</v>
      </c>
    </row>
    <row r="32">
      <c r="A32" s="1" t="s">
        <v>2204</v>
      </c>
      <c r="B32" s="177"/>
      <c r="C32" s="170" t="str">
        <f>IF(ISBLANK(A32),"",VLOOKUP(A32,DOI_URL!$B$1:$C$74,2,FALSE()))</f>
        <v>https://drive.google.com/file/d/1Eto7Zm5mpDYXObZ3Rozs559hM334gzmk/view?usp=sharing</v>
      </c>
      <c r="D32" s="1" t="s">
        <v>3311</v>
      </c>
      <c r="E32" s="1" t="s">
        <v>3311</v>
      </c>
      <c r="F32" s="1" t="s">
        <v>3566</v>
      </c>
      <c r="G32" s="1" t="s">
        <v>2097</v>
      </c>
      <c r="H32" s="1" t="s">
        <v>2883</v>
      </c>
      <c r="J32" s="1" t="s">
        <v>14</v>
      </c>
      <c r="K32" s="1" t="s">
        <v>488</v>
      </c>
    </row>
    <row r="33">
      <c r="A33" s="1" t="s">
        <v>2204</v>
      </c>
      <c r="B33" s="177"/>
      <c r="C33" s="170" t="str">
        <f>IF(ISBLANK(A33),"",VLOOKUP(A33,DOI_URL!$B$1:$C$74,2,FALSE()))</f>
        <v>https://drive.google.com/file/d/1Eto7Zm5mpDYXObZ3Rozs559hM334gzmk/view?usp=sharing</v>
      </c>
      <c r="D33" s="1" t="s">
        <v>3311</v>
      </c>
      <c r="E33" s="1" t="s">
        <v>3311</v>
      </c>
      <c r="F33" s="1" t="s">
        <v>3567</v>
      </c>
      <c r="H33" s="1" t="s">
        <v>2896</v>
      </c>
      <c r="J33" s="1" t="s">
        <v>44</v>
      </c>
      <c r="K33" s="1" t="s">
        <v>488</v>
      </c>
    </row>
    <row r="34">
      <c r="A34" s="1" t="s">
        <v>2204</v>
      </c>
      <c r="B34" s="177"/>
      <c r="C34" s="170" t="str">
        <f>IF(ISBLANK(A34),"",VLOOKUP(A34,DOI_URL!$B$1:$C$74,2,FALSE()))</f>
        <v>https://drive.google.com/file/d/1Eto7Zm5mpDYXObZ3Rozs559hM334gzmk/view?usp=sharing</v>
      </c>
      <c r="D34" s="1" t="s">
        <v>3311</v>
      </c>
      <c r="E34" s="1" t="s">
        <v>3311</v>
      </c>
      <c r="F34" s="1" t="s">
        <v>3568</v>
      </c>
      <c r="H34" s="1" t="s">
        <v>2902</v>
      </c>
      <c r="J34" s="1" t="s">
        <v>2388</v>
      </c>
      <c r="K34" s="1" t="s">
        <v>488</v>
      </c>
    </row>
    <row r="35">
      <c r="A35" s="1" t="s">
        <v>2204</v>
      </c>
      <c r="B35" s="177"/>
      <c r="C35" s="170" t="str">
        <f>IF(ISBLANK(A35),"",VLOOKUP(A35,DOI_URL!$B$1:$C$74,2,FALSE()))</f>
        <v>https://drive.google.com/file/d/1Eto7Zm5mpDYXObZ3Rozs559hM334gzmk/view?usp=sharing</v>
      </c>
      <c r="D35" s="1" t="s">
        <v>3311</v>
      </c>
      <c r="E35" s="1" t="s">
        <v>3311</v>
      </c>
      <c r="F35" s="1" t="s">
        <v>3569</v>
      </c>
      <c r="H35" s="1" t="s">
        <v>2908</v>
      </c>
      <c r="I35" s="1" t="s">
        <v>2909</v>
      </c>
      <c r="J35" s="1" t="s">
        <v>39</v>
      </c>
      <c r="K35" s="1" t="s">
        <v>488</v>
      </c>
    </row>
    <row r="36">
      <c r="A36" s="1" t="s">
        <v>2204</v>
      </c>
      <c r="B36" s="177"/>
      <c r="C36" s="170" t="str">
        <f>IF(ISBLANK(A36),"",VLOOKUP(A36,DOI_URL!$B$1:$C$74,2,FALSE()))</f>
        <v>https://drive.google.com/file/d/1Eto7Zm5mpDYXObZ3Rozs559hM334gzmk/view?usp=sharing</v>
      </c>
      <c r="D36" s="1" t="s">
        <v>3311</v>
      </c>
      <c r="E36" s="1" t="s">
        <v>3311</v>
      </c>
      <c r="F36" s="1" t="s">
        <v>3570</v>
      </c>
      <c r="H36" s="1" t="s">
        <v>2914</v>
      </c>
      <c r="J36" s="1" t="s">
        <v>39</v>
      </c>
      <c r="K36" s="1" t="s">
        <v>488</v>
      </c>
    </row>
    <row r="37">
      <c r="A37" s="1" t="s">
        <v>2204</v>
      </c>
      <c r="B37" s="177"/>
      <c r="C37" s="170" t="str">
        <f>IF(ISBLANK(A37),"",VLOOKUP(A37,DOI_URL!$B$1:$C$74,2,FALSE()))</f>
        <v>https://drive.google.com/file/d/1Eto7Zm5mpDYXObZ3Rozs559hM334gzmk/view?usp=sharing</v>
      </c>
      <c r="D37" s="1" t="s">
        <v>3311</v>
      </c>
      <c r="E37" s="1" t="s">
        <v>3311</v>
      </c>
      <c r="F37" s="1" t="s">
        <v>3571</v>
      </c>
      <c r="H37" s="1" t="s">
        <v>2911</v>
      </c>
      <c r="I37" s="1" t="s">
        <v>2912</v>
      </c>
      <c r="J37" s="1" t="s">
        <v>39</v>
      </c>
      <c r="K37" s="1" t="s">
        <v>488</v>
      </c>
    </row>
    <row r="38">
      <c r="A38" s="1" t="s">
        <v>483</v>
      </c>
      <c r="B38" s="177"/>
      <c r="C38" s="170" t="str">
        <f>IF(ISBLANK(A38),"",VLOOKUP(A38,DOI_URL!$B$1:$C$74,2,FALSE()))</f>
        <v>https://drive.google.com/file/d/1BdPVbZqhRPjpQtD2C1u09sYXBdr84-HR/view?usp=sharing</v>
      </c>
      <c r="D38" s="1" t="s">
        <v>3311</v>
      </c>
      <c r="E38" s="1" t="s">
        <v>3311</v>
      </c>
      <c r="F38" s="1" t="s">
        <v>502</v>
      </c>
      <c r="H38" s="1" t="s">
        <v>2459</v>
      </c>
      <c r="I38" s="1" t="s">
        <v>490</v>
      </c>
      <c r="J38" s="1" t="s">
        <v>44</v>
      </c>
      <c r="K38" s="1" t="s">
        <v>488</v>
      </c>
    </row>
    <row r="39">
      <c r="A39" s="1" t="s">
        <v>483</v>
      </c>
      <c r="B39" s="177"/>
      <c r="C39" s="170" t="str">
        <f>IF(ISBLANK(A39),"",VLOOKUP(A39,DOI_URL!$B$1:$C$74,2,FALSE()))</f>
        <v>https://drive.google.com/file/d/1BdPVbZqhRPjpQtD2C1u09sYXBdr84-HR/view?usp=sharing</v>
      </c>
      <c r="D39" s="1" t="s">
        <v>3311</v>
      </c>
      <c r="E39" s="1" t="s">
        <v>3311</v>
      </c>
      <c r="F39" s="1" t="s">
        <v>502</v>
      </c>
      <c r="H39" s="1" t="s">
        <v>504</v>
      </c>
      <c r="I39" s="1" t="s">
        <v>505</v>
      </c>
      <c r="J39" s="1" t="s">
        <v>506</v>
      </c>
      <c r="K39" s="1" t="s">
        <v>488</v>
      </c>
    </row>
    <row r="40">
      <c r="A40" s="1" t="s">
        <v>483</v>
      </c>
      <c r="B40" s="177"/>
      <c r="C40" s="170" t="str">
        <f>IF(ISBLANK(A40),"",VLOOKUP(A40,DOI_URL!$B$1:$C$74,2,FALSE()))</f>
        <v>https://drive.google.com/file/d/1BdPVbZqhRPjpQtD2C1u09sYXBdr84-HR/view?usp=sharing</v>
      </c>
      <c r="D40" s="1" t="s">
        <v>3311</v>
      </c>
      <c r="E40" s="1" t="s">
        <v>3311</v>
      </c>
      <c r="F40" s="1" t="s">
        <v>502</v>
      </c>
      <c r="H40" s="1" t="s">
        <v>2460</v>
      </c>
      <c r="J40" s="1" t="s">
        <v>39</v>
      </c>
      <c r="K40" s="1" t="s">
        <v>488</v>
      </c>
    </row>
    <row r="41">
      <c r="A41" s="1" t="s">
        <v>483</v>
      </c>
      <c r="B41" s="177"/>
      <c r="C41" s="170" t="str">
        <f>IF(ISBLANK(A41),"",VLOOKUP(A41,DOI_URL!$B$1:$C$74,2,FALSE()))</f>
        <v>https://drive.google.com/file/d/1BdPVbZqhRPjpQtD2C1u09sYXBdr84-HR/view?usp=sharing</v>
      </c>
      <c r="D41" s="1" t="s">
        <v>3311</v>
      </c>
      <c r="E41" s="1" t="s">
        <v>3311</v>
      </c>
      <c r="F41" s="1" t="s">
        <v>502</v>
      </c>
      <c r="H41" s="1" t="s">
        <v>2461</v>
      </c>
      <c r="J41" s="1" t="s">
        <v>39</v>
      </c>
      <c r="K41" s="1" t="s">
        <v>488</v>
      </c>
    </row>
    <row r="42">
      <c r="A42" s="1" t="s">
        <v>483</v>
      </c>
      <c r="B42" s="177"/>
      <c r="C42" s="170" t="str">
        <f>IF(ISBLANK(A42),"",VLOOKUP(A42,DOI_URL!$B$1:$C$74,2,FALSE()))</f>
        <v>https://drive.google.com/file/d/1BdPVbZqhRPjpQtD2C1u09sYXBdr84-HR/view?usp=sharing</v>
      </c>
      <c r="D42" s="1" t="s">
        <v>3311</v>
      </c>
      <c r="E42" s="1" t="s">
        <v>3311</v>
      </c>
      <c r="F42" s="1" t="s">
        <v>507</v>
      </c>
      <c r="G42" s="1" t="s">
        <v>508</v>
      </c>
      <c r="H42" s="1" t="s">
        <v>509</v>
      </c>
      <c r="I42" s="1" t="s">
        <v>510</v>
      </c>
      <c r="J42" s="1" t="s">
        <v>14</v>
      </c>
      <c r="K42" s="1" t="s">
        <v>488</v>
      </c>
    </row>
    <row r="43">
      <c r="A43" s="1" t="s">
        <v>483</v>
      </c>
      <c r="B43" s="177"/>
      <c r="C43" s="170" t="str">
        <f>IF(ISBLANK(A43),"",VLOOKUP(A43,DOI_URL!$B$1:$C$74,2,FALSE()))</f>
        <v>https://drive.google.com/file/d/1BdPVbZqhRPjpQtD2C1u09sYXBdr84-HR/view?usp=sharing</v>
      </c>
      <c r="D43" s="1" t="s">
        <v>3311</v>
      </c>
      <c r="E43" s="1" t="s">
        <v>3311</v>
      </c>
      <c r="F43" s="1" t="s">
        <v>511</v>
      </c>
      <c r="G43" s="1" t="s">
        <v>914</v>
      </c>
      <c r="H43" s="1" t="s">
        <v>3572</v>
      </c>
      <c r="J43" s="1" t="s">
        <v>39</v>
      </c>
      <c r="K43" s="1" t="s">
        <v>488</v>
      </c>
    </row>
    <row r="44">
      <c r="A44" s="1" t="s">
        <v>665</v>
      </c>
      <c r="B44" s="177"/>
      <c r="C44" s="170" t="str">
        <f>IF(ISBLANK(A44),"",VLOOKUP(A44,DOI_URL!$B$1:$C$74,2,FALSE()))</f>
        <v>https://drive.google.com/file/d/1QhoIrklxWhgAa8I3rYqClVgyMfAupPTD/view?usp=sharing</v>
      </c>
      <c r="D44" s="1" t="s">
        <v>3311</v>
      </c>
      <c r="E44" s="1" t="s">
        <v>3311</v>
      </c>
      <c r="F44" s="1" t="s">
        <v>2545</v>
      </c>
      <c r="H44" s="1" t="s">
        <v>2546</v>
      </c>
      <c r="I44" s="1" t="s">
        <v>2547</v>
      </c>
      <c r="J44" s="1" t="s">
        <v>44</v>
      </c>
      <c r="K44" s="1" t="s">
        <v>669</v>
      </c>
    </row>
    <row r="45">
      <c r="A45" s="1" t="s">
        <v>665</v>
      </c>
      <c r="B45" s="177"/>
      <c r="C45" s="170" t="str">
        <f>IF(ISBLANK(A45),"",VLOOKUP(A45,DOI_URL!$B$1:$C$74,2,FALSE()))</f>
        <v>https://drive.google.com/file/d/1QhoIrklxWhgAa8I3rYqClVgyMfAupPTD/view?usp=sharing</v>
      </c>
      <c r="D45" s="1" t="s">
        <v>3311</v>
      </c>
      <c r="E45" s="1" t="s">
        <v>3311</v>
      </c>
      <c r="F45" s="1" t="s">
        <v>670</v>
      </c>
      <c r="G45" s="1" t="s">
        <v>1649</v>
      </c>
      <c r="H45" s="1" t="s">
        <v>671</v>
      </c>
      <c r="I45" s="1" t="s">
        <v>2548</v>
      </c>
      <c r="J45" s="1" t="s">
        <v>14</v>
      </c>
      <c r="K45" s="1" t="s">
        <v>669</v>
      </c>
      <c r="L45" s="1" t="s">
        <v>3573</v>
      </c>
    </row>
    <row r="46">
      <c r="A46" s="1" t="s">
        <v>665</v>
      </c>
      <c r="B46" s="177"/>
      <c r="C46" s="170" t="str">
        <f>IF(ISBLANK(A46),"",VLOOKUP(A46,DOI_URL!$B$1:$C$74,2,FALSE()))</f>
        <v>https://drive.google.com/file/d/1QhoIrklxWhgAa8I3rYqClVgyMfAupPTD/view?usp=sharing</v>
      </c>
      <c r="D46" s="1" t="s">
        <v>3311</v>
      </c>
      <c r="E46" s="1" t="s">
        <v>3311</v>
      </c>
      <c r="F46" s="1" t="s">
        <v>2549</v>
      </c>
      <c r="H46" s="1" t="s">
        <v>678</v>
      </c>
      <c r="J46" s="1" t="s">
        <v>39</v>
      </c>
      <c r="K46" s="1" t="s">
        <v>669</v>
      </c>
    </row>
    <row r="47">
      <c r="A47" s="1" t="s">
        <v>665</v>
      </c>
      <c r="B47" s="177"/>
      <c r="C47" s="170" t="str">
        <f>IF(ISBLANK(A47),"",VLOOKUP(A47,DOI_URL!$B$1:$C$74,2,FALSE()))</f>
        <v>https://drive.google.com/file/d/1QhoIrklxWhgAa8I3rYqClVgyMfAupPTD/view?usp=sharing</v>
      </c>
      <c r="D47" s="1" t="s">
        <v>3311</v>
      </c>
      <c r="E47" s="1" t="s">
        <v>3311</v>
      </c>
      <c r="F47" s="1" t="s">
        <v>2549</v>
      </c>
      <c r="H47" s="1" t="s">
        <v>2551</v>
      </c>
      <c r="J47" s="1" t="s">
        <v>39</v>
      </c>
      <c r="K47" s="1" t="s">
        <v>669</v>
      </c>
    </row>
    <row r="48">
      <c r="A48" s="1" t="s">
        <v>665</v>
      </c>
      <c r="B48" s="177"/>
      <c r="C48" s="170" t="str">
        <f>IF(ISBLANK(A48),"",VLOOKUP(A48,DOI_URL!$B$1:$C$74,2,FALSE()))</f>
        <v>https://drive.google.com/file/d/1QhoIrklxWhgAa8I3rYqClVgyMfAupPTD/view?usp=sharing</v>
      </c>
      <c r="D48" s="1" t="s">
        <v>3311</v>
      </c>
      <c r="E48" s="1" t="s">
        <v>3311</v>
      </c>
      <c r="F48" s="1" t="s">
        <v>681</v>
      </c>
      <c r="H48" s="1" t="s">
        <v>2553</v>
      </c>
      <c r="J48" s="1" t="s">
        <v>39</v>
      </c>
      <c r="K48" s="1" t="s">
        <v>669</v>
      </c>
    </row>
    <row r="49">
      <c r="A49" s="1" t="s">
        <v>1595</v>
      </c>
      <c r="B49" s="177"/>
      <c r="C49" s="170" t="str">
        <f>IF(ISBLANK(A49),"",VLOOKUP(A49,DOI_URL!$B$1:$C$74,2,FALSE()))</f>
        <v>https://drive.google.com/file/d/16G21MBH6PmhnLyt7VoHrxb7gDCRjfIUI/view?usp=sharing</v>
      </c>
      <c r="D49" s="1" t="s">
        <v>3311</v>
      </c>
      <c r="E49" s="1" t="s">
        <v>3311</v>
      </c>
      <c r="F49" s="1" t="s">
        <v>3574</v>
      </c>
      <c r="H49" s="1" t="s">
        <v>3031</v>
      </c>
      <c r="I49" s="1" t="s">
        <v>3032</v>
      </c>
      <c r="J49" s="1" t="s">
        <v>39</v>
      </c>
      <c r="K49" s="1" t="s">
        <v>3026</v>
      </c>
      <c r="L49" s="1" t="s">
        <v>3575</v>
      </c>
    </row>
    <row r="50">
      <c r="A50" s="1" t="s">
        <v>1595</v>
      </c>
      <c r="B50" s="177"/>
      <c r="C50" s="170" t="str">
        <f>IF(ISBLANK(A50),"",VLOOKUP(A50,DOI_URL!$B$1:$C$74,2,FALSE()))</f>
        <v>https://drive.google.com/file/d/16G21MBH6PmhnLyt7VoHrxb7gDCRjfIUI/view?usp=sharing</v>
      </c>
      <c r="D50" s="1" t="s">
        <v>3311</v>
      </c>
      <c r="E50" s="1" t="s">
        <v>3311</v>
      </c>
      <c r="F50" s="1" t="s">
        <v>3576</v>
      </c>
      <c r="H50" s="1" t="s">
        <v>3034</v>
      </c>
      <c r="I50" s="1" t="s">
        <v>3035</v>
      </c>
      <c r="J50" s="1" t="s">
        <v>39</v>
      </c>
      <c r="K50" s="1" t="s">
        <v>3026</v>
      </c>
    </row>
    <row r="51">
      <c r="A51" s="1" t="s">
        <v>1595</v>
      </c>
      <c r="B51" s="177"/>
      <c r="C51" s="170" t="str">
        <f>IF(ISBLANK(A51),"",VLOOKUP(A51,DOI_URL!$B$1:$C$74,2,FALSE()))</f>
        <v>https://drive.google.com/file/d/16G21MBH6PmhnLyt7VoHrxb7gDCRjfIUI/view?usp=sharing</v>
      </c>
      <c r="D51" s="1" t="s">
        <v>3311</v>
      </c>
      <c r="E51" s="1" t="s">
        <v>3311</v>
      </c>
      <c r="F51" s="1" t="s">
        <v>3577</v>
      </c>
      <c r="H51" s="1" t="s">
        <v>3037</v>
      </c>
      <c r="I51" s="1" t="s">
        <v>3038</v>
      </c>
      <c r="J51" s="1" t="s">
        <v>39</v>
      </c>
      <c r="K51" s="1" t="s">
        <v>3026</v>
      </c>
    </row>
    <row r="52">
      <c r="A52" s="1" t="s">
        <v>1595</v>
      </c>
      <c r="B52" s="177"/>
      <c r="C52" s="170" t="str">
        <f>IF(ISBLANK(A52),"",VLOOKUP(A52,DOI_URL!$B$1:$C$74,2,FALSE()))</f>
        <v>https://drive.google.com/file/d/16G21MBH6PmhnLyt7VoHrxb7gDCRjfIUI/view?usp=sharing</v>
      </c>
      <c r="D52" s="1" t="s">
        <v>3311</v>
      </c>
      <c r="E52" s="1" t="s">
        <v>3311</v>
      </c>
      <c r="F52" s="1" t="s">
        <v>3578</v>
      </c>
      <c r="H52" s="1" t="s">
        <v>1616</v>
      </c>
      <c r="I52" s="1" t="s">
        <v>1617</v>
      </c>
      <c r="J52" s="1" t="s">
        <v>39</v>
      </c>
      <c r="K52" s="1" t="s">
        <v>3026</v>
      </c>
    </row>
    <row r="53">
      <c r="A53" s="1" t="s">
        <v>935</v>
      </c>
      <c r="B53" s="177"/>
      <c r="C53" s="170" t="str">
        <f>IF(ISBLANK(A53),"",VLOOKUP(A53,DOI_URL!$B$1:$C$74,2,FALSE()))</f>
        <v>https://drive.google.com/file/d/1_A7dpMqAYi0iMFQbAhNZqBDiVWtZ9Ras/view?usp=sharing</v>
      </c>
      <c r="D53" s="1" t="s">
        <v>3311</v>
      </c>
      <c r="E53" s="1" t="s">
        <v>3311</v>
      </c>
      <c r="F53" s="1" t="s">
        <v>3579</v>
      </c>
      <c r="G53" s="1" t="s">
        <v>3580</v>
      </c>
      <c r="H53" s="1" t="s">
        <v>2461</v>
      </c>
      <c r="J53" s="1" t="s">
        <v>39</v>
      </c>
      <c r="K53" s="1" t="s">
        <v>938</v>
      </c>
    </row>
    <row r="54">
      <c r="A54" s="1" t="s">
        <v>935</v>
      </c>
      <c r="B54" s="177"/>
      <c r="C54" s="170" t="str">
        <f>IF(ISBLANK(A54),"",VLOOKUP(A54,DOI_URL!$B$1:$C$74,2,FALSE()))</f>
        <v>https://drive.google.com/file/d/1_A7dpMqAYi0iMFQbAhNZqBDiVWtZ9Ras/view?usp=sharing</v>
      </c>
      <c r="D54" s="1" t="s">
        <v>3311</v>
      </c>
      <c r="E54" s="1" t="s">
        <v>3311</v>
      </c>
      <c r="F54" s="1" t="s">
        <v>3581</v>
      </c>
      <c r="G54" s="1" t="s">
        <v>940</v>
      </c>
      <c r="H54" s="1" t="s">
        <v>941</v>
      </c>
      <c r="I54" s="1" t="s">
        <v>942</v>
      </c>
      <c r="J54" s="1" t="s">
        <v>39</v>
      </c>
      <c r="K54" s="1" t="s">
        <v>938</v>
      </c>
    </row>
    <row r="55">
      <c r="A55" s="1" t="s">
        <v>935</v>
      </c>
      <c r="B55" s="177"/>
      <c r="C55" s="170" t="str">
        <f>IF(ISBLANK(A55),"",VLOOKUP(A55,DOI_URL!$B$1:$C$74,2,FALSE()))</f>
        <v>https://drive.google.com/file/d/1_A7dpMqAYi0iMFQbAhNZqBDiVWtZ9Ras/view?usp=sharing</v>
      </c>
      <c r="D55" s="1" t="s">
        <v>3311</v>
      </c>
      <c r="E55" s="1" t="s">
        <v>3311</v>
      </c>
      <c r="F55" s="1" t="s">
        <v>3581</v>
      </c>
      <c r="G55" s="1" t="s">
        <v>943</v>
      </c>
      <c r="H55" s="1" t="s">
        <v>944</v>
      </c>
      <c r="I55" s="1" t="s">
        <v>945</v>
      </c>
      <c r="J55" s="1" t="s">
        <v>39</v>
      </c>
      <c r="K55" s="1" t="s">
        <v>938</v>
      </c>
    </row>
    <row r="56">
      <c r="A56" s="1" t="s">
        <v>935</v>
      </c>
      <c r="B56" s="177"/>
      <c r="C56" s="170" t="str">
        <f>IF(ISBLANK(A56),"",VLOOKUP(A56,DOI_URL!$B$1:$C$74,2,FALSE()))</f>
        <v>https://drive.google.com/file/d/1_A7dpMqAYi0iMFQbAhNZqBDiVWtZ9Ras/view?usp=sharing</v>
      </c>
      <c r="D56" s="1" t="s">
        <v>3311</v>
      </c>
      <c r="E56" s="1" t="s">
        <v>3311</v>
      </c>
      <c r="F56" s="1" t="s">
        <v>3581</v>
      </c>
      <c r="G56" s="1" t="s">
        <v>947</v>
      </c>
      <c r="H56" s="1" t="s">
        <v>948</v>
      </c>
      <c r="I56" s="1" t="s">
        <v>949</v>
      </c>
      <c r="J56" s="1" t="s">
        <v>39</v>
      </c>
      <c r="K56" s="1" t="s">
        <v>938</v>
      </c>
    </row>
    <row r="57">
      <c r="A57" s="1" t="s">
        <v>850</v>
      </c>
      <c r="B57" s="87">
        <v>1.0</v>
      </c>
      <c r="C57" s="170" t="str">
        <f>IF(ISBLANK(A57),"",VLOOKUP(A57,DOI_URL!$B$1:$C$74,2,FALSE()))</f>
        <v>https://drive.google.com/file/d/1WB4bRmEaMauWYto_I6204wWGJmEuQW4t/view?usp=sharing</v>
      </c>
      <c r="D57" s="1" t="s">
        <v>3311</v>
      </c>
      <c r="E57" s="1" t="s">
        <v>3311</v>
      </c>
      <c r="F57" s="1" t="s">
        <v>3582</v>
      </c>
      <c r="G57" s="1" t="s">
        <v>2641</v>
      </c>
      <c r="H57" s="1" t="s">
        <v>2642</v>
      </c>
      <c r="J57" s="1" t="s">
        <v>44</v>
      </c>
      <c r="K57" s="1" t="s">
        <v>806</v>
      </c>
    </row>
    <row r="58">
      <c r="A58" s="1" t="s">
        <v>850</v>
      </c>
      <c r="B58" s="87">
        <v>1.0</v>
      </c>
      <c r="C58" s="170" t="str">
        <f>IF(ISBLANK(A58),"",VLOOKUP(A58,DOI_URL!$B$1:$C$74,2,FALSE()))</f>
        <v>https://drive.google.com/file/d/1WB4bRmEaMauWYto_I6204wWGJmEuQW4t/view?usp=sharing</v>
      </c>
      <c r="D58" s="1" t="s">
        <v>3311</v>
      </c>
      <c r="E58" s="1" t="s">
        <v>3311</v>
      </c>
      <c r="F58" s="1" t="s">
        <v>3582</v>
      </c>
      <c r="G58" s="1" t="s">
        <v>3583</v>
      </c>
      <c r="H58" s="1" t="s">
        <v>861</v>
      </c>
      <c r="I58" s="1" t="s">
        <v>862</v>
      </c>
      <c r="J58" s="1" t="s">
        <v>39</v>
      </c>
      <c r="K58" s="1" t="s">
        <v>806</v>
      </c>
    </row>
    <row r="59">
      <c r="A59" s="1" t="s">
        <v>850</v>
      </c>
      <c r="B59" s="87">
        <v>1.0</v>
      </c>
      <c r="C59" s="170" t="str">
        <f>IF(ISBLANK(A59),"",VLOOKUP(A59,DOI_URL!$B$1:$C$74,2,FALSE()))</f>
        <v>https://drive.google.com/file/d/1WB4bRmEaMauWYto_I6204wWGJmEuQW4t/view?usp=sharing</v>
      </c>
      <c r="D59" s="1" t="s">
        <v>3311</v>
      </c>
      <c r="E59" s="1" t="s">
        <v>3311</v>
      </c>
      <c r="F59" s="1" t="s">
        <v>3584</v>
      </c>
      <c r="H59" s="1" t="s">
        <v>866</v>
      </c>
      <c r="I59" s="1" t="s">
        <v>867</v>
      </c>
      <c r="J59" s="1" t="s">
        <v>39</v>
      </c>
      <c r="K59" s="1" t="s">
        <v>806</v>
      </c>
    </row>
    <row r="60">
      <c r="A60" s="1" t="s">
        <v>850</v>
      </c>
      <c r="B60" s="87">
        <v>1.0</v>
      </c>
      <c r="C60" s="170" t="str">
        <f>IF(ISBLANK(A60),"",VLOOKUP(A60,DOI_URL!$B$1:$C$74,2,FALSE()))</f>
        <v>https://drive.google.com/file/d/1WB4bRmEaMauWYto_I6204wWGJmEuQW4t/view?usp=sharing</v>
      </c>
      <c r="D60" s="1" t="s">
        <v>3311</v>
      </c>
      <c r="E60" s="1" t="s">
        <v>3311</v>
      </c>
      <c r="F60" s="1" t="s">
        <v>3585</v>
      </c>
      <c r="G60" s="1" t="s">
        <v>872</v>
      </c>
      <c r="H60" s="1" t="s">
        <v>873</v>
      </c>
      <c r="I60" s="1" t="s">
        <v>874</v>
      </c>
      <c r="J60" s="1" t="s">
        <v>14</v>
      </c>
      <c r="K60" s="1" t="s">
        <v>806</v>
      </c>
    </row>
    <row r="61">
      <c r="A61" s="1" t="s">
        <v>1288</v>
      </c>
      <c r="B61" s="177"/>
      <c r="C61" s="170" t="str">
        <f>IF(ISBLANK(A61),"",VLOOKUP(A61,DOI_URL!$B$1:$C$74,2,FALSE()))</f>
        <v>https://drive.google.com/file/d/1uk3b4qpFkIvGMiBObtGDGsDsaLQWu7lE/view?usp=sharing</v>
      </c>
      <c r="D61" s="1" t="s">
        <v>3309</v>
      </c>
      <c r="E61" s="1" t="s">
        <v>3311</v>
      </c>
      <c r="J61" s="8"/>
      <c r="K61" s="8"/>
      <c r="L61" s="1" t="s">
        <v>3586</v>
      </c>
    </row>
    <row r="62">
      <c r="A62" s="1" t="s">
        <v>2202</v>
      </c>
      <c r="B62" s="177"/>
      <c r="C62" s="170" t="str">
        <f>IF(ISBLANK(A62),"",VLOOKUP(A62,DOI_URL!$B$1:$C$74,2,FALSE()))</f>
        <v>https://drive.google.com/file/d/1HsEfCIfU93ep7wpHXCQA2wgJGk6ZY7u-/view?usp=sharing</v>
      </c>
      <c r="D62" s="1" t="s">
        <v>3311</v>
      </c>
      <c r="E62" s="1" t="s">
        <v>3311</v>
      </c>
      <c r="F62" s="1" t="s">
        <v>2362</v>
      </c>
      <c r="G62" s="1" t="s">
        <v>2363</v>
      </c>
      <c r="H62" s="1" t="s">
        <v>2364</v>
      </c>
      <c r="J62" s="1" t="s">
        <v>39</v>
      </c>
      <c r="K62" s="1" t="s">
        <v>488</v>
      </c>
      <c r="L62" s="1" t="s">
        <v>3587</v>
      </c>
    </row>
    <row r="63">
      <c r="A63" s="1" t="s">
        <v>189</v>
      </c>
      <c r="B63" s="177"/>
      <c r="C63" s="170" t="str">
        <f>IF(ISBLANK(A63),"",VLOOKUP(A63,DOI_URL!$B$1:$C$74,2,FALSE()))</f>
        <v>https://drive.google.com/file/d/1pADV6CiRzv3ZSsdWF3wWAYPyhNn0Qr9k/view?usp=sharing</v>
      </c>
      <c r="D63" s="1" t="s">
        <v>3311</v>
      </c>
      <c r="E63" s="1" t="s">
        <v>3311</v>
      </c>
      <c r="F63" s="1" t="s">
        <v>2304</v>
      </c>
      <c r="G63" s="1" t="s">
        <v>2305</v>
      </c>
      <c r="H63" s="1" t="s">
        <v>2306</v>
      </c>
      <c r="J63" s="1" t="s">
        <v>20</v>
      </c>
      <c r="K63" s="1" t="s">
        <v>194</v>
      </c>
    </row>
    <row r="64">
      <c r="A64" s="1" t="s">
        <v>189</v>
      </c>
      <c r="B64" s="177"/>
      <c r="C64" s="170" t="str">
        <f>IF(ISBLANK(A64),"",VLOOKUP(A64,DOI_URL!$B$1:$C$74,2,FALSE()))</f>
        <v>https://drive.google.com/file/d/1pADV6CiRzv3ZSsdWF3wWAYPyhNn0Qr9k/view?usp=sharing</v>
      </c>
      <c r="D64" s="1" t="s">
        <v>3311</v>
      </c>
      <c r="E64" s="1" t="s">
        <v>3311</v>
      </c>
      <c r="F64" s="1" t="s">
        <v>2307</v>
      </c>
      <c r="G64" s="1" t="s">
        <v>872</v>
      </c>
      <c r="H64" s="1" t="s">
        <v>2308</v>
      </c>
      <c r="I64" s="1" t="s">
        <v>2309</v>
      </c>
      <c r="J64" s="1" t="s">
        <v>54</v>
      </c>
      <c r="K64" s="1" t="s">
        <v>194</v>
      </c>
    </row>
    <row r="65">
      <c r="A65" s="1" t="s">
        <v>189</v>
      </c>
      <c r="B65" s="177"/>
      <c r="C65" s="170" t="str">
        <f>IF(ISBLANK(A65),"",VLOOKUP(A65,DOI_URL!$B$1:$C$74,2,FALSE()))</f>
        <v>https://drive.google.com/file/d/1pADV6CiRzv3ZSsdWF3wWAYPyhNn0Qr9k/view?usp=sharing</v>
      </c>
      <c r="D65" s="1" t="s">
        <v>3311</v>
      </c>
      <c r="E65" s="1" t="s">
        <v>3311</v>
      </c>
      <c r="F65" s="1" t="s">
        <v>2310</v>
      </c>
      <c r="G65" s="1" t="s">
        <v>2311</v>
      </c>
      <c r="H65" s="1" t="s">
        <v>2312</v>
      </c>
      <c r="I65" s="1" t="s">
        <v>2313</v>
      </c>
      <c r="J65" s="1" t="s">
        <v>54</v>
      </c>
      <c r="K65" s="1" t="s">
        <v>194</v>
      </c>
    </row>
    <row r="66">
      <c r="A66" s="1" t="s">
        <v>189</v>
      </c>
      <c r="B66" s="177"/>
      <c r="C66" s="170" t="str">
        <f>IF(ISBLANK(A66),"",VLOOKUP(A66,DOI_URL!$B$1:$C$74,2,FALSE()))</f>
        <v>https://drive.google.com/file/d/1pADV6CiRzv3ZSsdWF3wWAYPyhNn0Qr9k/view?usp=sharing</v>
      </c>
      <c r="D66" s="1" t="s">
        <v>3311</v>
      </c>
      <c r="E66" s="1" t="s">
        <v>3311</v>
      </c>
      <c r="F66" s="1" t="s">
        <v>2310</v>
      </c>
      <c r="G66" s="1" t="s">
        <v>2311</v>
      </c>
      <c r="H66" s="1" t="s">
        <v>2314</v>
      </c>
      <c r="I66" s="1" t="s">
        <v>2315</v>
      </c>
      <c r="J66" s="1" t="s">
        <v>20</v>
      </c>
      <c r="K66" s="1" t="s">
        <v>194</v>
      </c>
    </row>
    <row r="67">
      <c r="A67" s="1" t="s">
        <v>189</v>
      </c>
      <c r="B67" s="177"/>
      <c r="C67" s="170" t="str">
        <f>IF(ISBLANK(A67),"",VLOOKUP(A67,DOI_URL!$B$1:$C$74,2,FALSE()))</f>
        <v>https://drive.google.com/file/d/1pADV6CiRzv3ZSsdWF3wWAYPyhNn0Qr9k/view?usp=sharing</v>
      </c>
      <c r="D67" s="1" t="s">
        <v>3311</v>
      </c>
      <c r="E67" s="1" t="s">
        <v>3311</v>
      </c>
      <c r="F67" s="1" t="s">
        <v>2316</v>
      </c>
      <c r="H67" s="1" t="s">
        <v>2317</v>
      </c>
      <c r="I67" s="1" t="s">
        <v>2318</v>
      </c>
      <c r="J67" s="1" t="s">
        <v>54</v>
      </c>
      <c r="K67" s="1" t="s">
        <v>194</v>
      </c>
    </row>
    <row r="68">
      <c r="A68" s="1" t="s">
        <v>189</v>
      </c>
      <c r="B68" s="177"/>
      <c r="C68" s="170" t="str">
        <f>IF(ISBLANK(A68),"",VLOOKUP(A68,DOI_URL!$B$1:$C$74,2,FALSE()))</f>
        <v>https://drive.google.com/file/d/1pADV6CiRzv3ZSsdWF3wWAYPyhNn0Qr9k/view?usp=sharing</v>
      </c>
      <c r="D68" s="1" t="s">
        <v>3311</v>
      </c>
      <c r="E68" s="1" t="s">
        <v>3311</v>
      </c>
      <c r="F68" s="1" t="s">
        <v>2319</v>
      </c>
      <c r="H68" s="1" t="s">
        <v>2320</v>
      </c>
      <c r="J68" s="1" t="s">
        <v>54</v>
      </c>
      <c r="K68" s="1" t="s">
        <v>194</v>
      </c>
    </row>
    <row r="69">
      <c r="A69" s="1" t="s">
        <v>189</v>
      </c>
      <c r="B69" s="177"/>
      <c r="C69" s="170" t="str">
        <f>IF(ISBLANK(A69),"",VLOOKUP(A69,DOI_URL!$B$1:$C$74,2,FALSE()))</f>
        <v>https://drive.google.com/file/d/1pADV6CiRzv3ZSsdWF3wWAYPyhNn0Qr9k/view?usp=sharing</v>
      </c>
      <c r="D69" s="1" t="s">
        <v>3311</v>
      </c>
      <c r="E69" s="1" t="s">
        <v>3311</v>
      </c>
      <c r="F69" s="1" t="s">
        <v>2321</v>
      </c>
      <c r="H69" s="1" t="s">
        <v>2322</v>
      </c>
      <c r="I69" s="1" t="s">
        <v>2323</v>
      </c>
      <c r="J69" s="1" t="s">
        <v>39</v>
      </c>
      <c r="K69" s="1" t="s">
        <v>194</v>
      </c>
    </row>
    <row r="70">
      <c r="A70" s="1" t="s">
        <v>189</v>
      </c>
      <c r="B70" s="177"/>
      <c r="C70" s="170" t="str">
        <f>IF(ISBLANK(A70),"",VLOOKUP(A70,DOI_URL!$B$1:$C$74,2,FALSE()))</f>
        <v>https://drive.google.com/file/d/1pADV6CiRzv3ZSsdWF3wWAYPyhNn0Qr9k/view?usp=sharing</v>
      </c>
      <c r="D70" s="1" t="s">
        <v>3311</v>
      </c>
      <c r="E70" s="1" t="s">
        <v>3311</v>
      </c>
      <c r="F70" s="1" t="s">
        <v>2324</v>
      </c>
      <c r="H70" s="1" t="s">
        <v>2325</v>
      </c>
      <c r="J70" s="1" t="s">
        <v>39</v>
      </c>
      <c r="K70" s="1" t="s">
        <v>194</v>
      </c>
    </row>
    <row r="71">
      <c r="A71" s="1" t="s">
        <v>189</v>
      </c>
      <c r="B71" s="177"/>
      <c r="C71" s="170" t="str">
        <f>IF(ISBLANK(A71),"",VLOOKUP(A71,DOI_URL!$B$1:$C$74,2,FALSE()))</f>
        <v>https://drive.google.com/file/d/1pADV6CiRzv3ZSsdWF3wWAYPyhNn0Qr9k/view?usp=sharing</v>
      </c>
      <c r="D71" s="1" t="s">
        <v>3311</v>
      </c>
      <c r="E71" s="1" t="s">
        <v>3311</v>
      </c>
      <c r="F71" s="1" t="s">
        <v>2327</v>
      </c>
      <c r="H71" s="1" t="s">
        <v>237</v>
      </c>
      <c r="J71" s="1" t="s">
        <v>39</v>
      </c>
      <c r="K71" s="1" t="s">
        <v>194</v>
      </c>
    </row>
    <row r="72">
      <c r="A72" s="1" t="s">
        <v>189</v>
      </c>
      <c r="B72" s="177"/>
      <c r="C72" s="170" t="str">
        <f>IF(ISBLANK(A72),"",VLOOKUP(A72,DOI_URL!$B$1:$C$74,2,FALSE()))</f>
        <v>https://drive.google.com/file/d/1pADV6CiRzv3ZSsdWF3wWAYPyhNn0Qr9k/view?usp=sharing</v>
      </c>
      <c r="D72" s="1" t="s">
        <v>3311</v>
      </c>
      <c r="E72" s="1" t="s">
        <v>3311</v>
      </c>
      <c r="F72" s="1" t="s">
        <v>2328</v>
      </c>
      <c r="G72" s="1" t="s">
        <v>3588</v>
      </c>
      <c r="H72" s="1" t="s">
        <v>2329</v>
      </c>
      <c r="I72" s="1" t="s">
        <v>2330</v>
      </c>
      <c r="J72" s="1" t="s">
        <v>39</v>
      </c>
      <c r="K72" s="1" t="s">
        <v>194</v>
      </c>
    </row>
    <row r="73">
      <c r="A73" s="1" t="s">
        <v>1755</v>
      </c>
      <c r="B73" s="177"/>
      <c r="C73" s="170" t="str">
        <f>IF(ISBLANK(A73),"",VLOOKUP(A73,DOI_URL!$B$1:$C$74,2,FALSE()))</f>
        <v>https://drive.google.com/file/d/18Um3M6VAiLZkosg9VJJmlLcqObGn4PGW/view?usp=sharing</v>
      </c>
      <c r="D73" s="1" t="s">
        <v>3311</v>
      </c>
      <c r="E73" s="1" t="s">
        <v>3311</v>
      </c>
      <c r="F73" s="1" t="s">
        <v>3589</v>
      </c>
      <c r="H73" s="1" t="s">
        <v>1772</v>
      </c>
      <c r="I73" s="1" t="s">
        <v>1773</v>
      </c>
      <c r="J73" s="1" t="s">
        <v>44</v>
      </c>
      <c r="K73" s="1" t="s">
        <v>938</v>
      </c>
    </row>
    <row r="74">
      <c r="A74" s="1" t="s">
        <v>1755</v>
      </c>
      <c r="B74" s="177"/>
      <c r="C74" s="170" t="str">
        <f>IF(ISBLANK(A74),"",VLOOKUP(A74,DOI_URL!$B$1:$C$74,2,FALSE()))</f>
        <v>https://drive.google.com/file/d/18Um3M6VAiLZkosg9VJJmlLcqObGn4PGW/view?usp=sharing</v>
      </c>
      <c r="D74" s="1" t="s">
        <v>3311</v>
      </c>
      <c r="E74" s="1" t="s">
        <v>3311</v>
      </c>
      <c r="F74" s="1" t="s">
        <v>3589</v>
      </c>
      <c r="H74" s="1" t="s">
        <v>3070</v>
      </c>
      <c r="I74" s="1" t="s">
        <v>1773</v>
      </c>
      <c r="J74" s="1" t="s">
        <v>39</v>
      </c>
      <c r="K74" s="1" t="s">
        <v>938</v>
      </c>
    </row>
    <row r="75">
      <c r="A75" s="1" t="s">
        <v>1755</v>
      </c>
      <c r="B75" s="177"/>
      <c r="C75" s="170" t="str">
        <f>IF(ISBLANK(A75),"",VLOOKUP(A75,DOI_URL!$B$1:$C$74,2,FALSE()))</f>
        <v>https://drive.google.com/file/d/18Um3M6VAiLZkosg9VJJmlLcqObGn4PGW/view?usp=sharing</v>
      </c>
      <c r="D75" s="1" t="s">
        <v>3311</v>
      </c>
      <c r="E75" s="1" t="s">
        <v>3311</v>
      </c>
      <c r="F75" s="1" t="s">
        <v>3590</v>
      </c>
      <c r="G75" s="1" t="s">
        <v>872</v>
      </c>
      <c r="H75" s="1" t="s">
        <v>1769</v>
      </c>
      <c r="I75" s="1" t="s">
        <v>1770</v>
      </c>
      <c r="J75" s="1" t="s">
        <v>39</v>
      </c>
      <c r="K75" s="1" t="s">
        <v>938</v>
      </c>
    </row>
    <row r="76">
      <c r="A76" s="1" t="s">
        <v>1755</v>
      </c>
      <c r="B76" s="177"/>
      <c r="C76" s="170" t="str">
        <f>IF(ISBLANK(A76),"",VLOOKUP(A76,DOI_URL!$B$1:$C$74,2,FALSE()))</f>
        <v>https://drive.google.com/file/d/18Um3M6VAiLZkosg9VJJmlLcqObGn4PGW/view?usp=sharing</v>
      </c>
      <c r="D76" s="1" t="s">
        <v>3311</v>
      </c>
      <c r="E76" s="1" t="s">
        <v>3311</v>
      </c>
      <c r="F76" s="1" t="s">
        <v>3591</v>
      </c>
      <c r="G76" s="1" t="s">
        <v>3071</v>
      </c>
      <c r="H76" s="1" t="s">
        <v>3072</v>
      </c>
      <c r="J76" s="1" t="s">
        <v>39</v>
      </c>
      <c r="K76" s="1" t="s">
        <v>938</v>
      </c>
    </row>
    <row r="77">
      <c r="A77" s="1" t="s">
        <v>1738</v>
      </c>
      <c r="B77" s="177"/>
      <c r="C77" s="170" t="str">
        <f>IF(ISBLANK(A77),"",VLOOKUP(A77,DOI_URL!$B$1:$C$74,2,FALSE()))</f>
        <v>https://drive.google.com/file/d/11qeTUw7mgkNXIxUUneu0Hp01jufl4DF5/view?usp=sharing</v>
      </c>
      <c r="D77" s="1" t="s">
        <v>3311</v>
      </c>
      <c r="E77" s="1" t="s">
        <v>3311</v>
      </c>
      <c r="F77" s="1" t="s">
        <v>3592</v>
      </c>
      <c r="H77" s="1" t="s">
        <v>3593</v>
      </c>
      <c r="J77" s="1" t="s">
        <v>39</v>
      </c>
      <c r="K77" s="1" t="s">
        <v>289</v>
      </c>
    </row>
    <row r="78">
      <c r="A78" s="1" t="s">
        <v>1738</v>
      </c>
      <c r="B78" s="177"/>
      <c r="C78" s="170" t="str">
        <f>IF(ISBLANK(A78),"",VLOOKUP(A78,DOI_URL!$B$1:$C$74,2,FALSE()))</f>
        <v>https://drive.google.com/file/d/11qeTUw7mgkNXIxUUneu0Hp01jufl4DF5/view?usp=sharing</v>
      </c>
      <c r="D78" s="1" t="s">
        <v>3311</v>
      </c>
      <c r="E78" s="1" t="s">
        <v>3311</v>
      </c>
      <c r="F78" s="1" t="s">
        <v>3594</v>
      </c>
      <c r="H78" s="1" t="s">
        <v>1750</v>
      </c>
      <c r="I78" s="1" t="s">
        <v>3066</v>
      </c>
      <c r="J78" s="1" t="s">
        <v>39</v>
      </c>
      <c r="K78" s="1" t="s">
        <v>289</v>
      </c>
    </row>
    <row r="79">
      <c r="A79" s="1" t="s">
        <v>1824</v>
      </c>
      <c r="B79" s="177"/>
      <c r="C79" s="170" t="str">
        <f>IF(ISBLANK(A79),"",VLOOKUP(A79,DOI_URL!$B$1:$C$74,2,FALSE()))</f>
        <v>https://drive.google.com/file/d/1z5TEaHnUuEv3unfZMg5FX14KyquGwiA5/view?usp=sharing</v>
      </c>
      <c r="D79" s="1" t="s">
        <v>3311</v>
      </c>
      <c r="E79" s="1" t="s">
        <v>3311</v>
      </c>
      <c r="F79" s="1" t="s">
        <v>3595</v>
      </c>
      <c r="H79" s="1" t="s">
        <v>3067</v>
      </c>
      <c r="I79" s="1" t="s">
        <v>3068</v>
      </c>
      <c r="J79" s="1" t="s">
        <v>44</v>
      </c>
      <c r="K79" s="1" t="s">
        <v>1826</v>
      </c>
    </row>
    <row r="80">
      <c r="A80" s="1" t="s">
        <v>1824</v>
      </c>
      <c r="B80" s="177"/>
      <c r="C80" s="170" t="str">
        <f>IF(ISBLANK(A80),"",VLOOKUP(A80,DOI_URL!$B$1:$C$74,2,FALSE()))</f>
        <v>https://drive.google.com/file/d/1z5TEaHnUuEv3unfZMg5FX14KyquGwiA5/view?usp=sharing</v>
      </c>
      <c r="D80" s="1" t="s">
        <v>3311</v>
      </c>
      <c r="E80" s="1" t="s">
        <v>3311</v>
      </c>
      <c r="F80" s="1" t="s">
        <v>3596</v>
      </c>
      <c r="G80" s="1" t="s">
        <v>872</v>
      </c>
      <c r="H80" s="1" t="s">
        <v>3597</v>
      </c>
      <c r="I80" s="1" t="s">
        <v>1831</v>
      </c>
      <c r="J80" s="1" t="s">
        <v>44</v>
      </c>
      <c r="K80" s="1" t="s">
        <v>1826</v>
      </c>
    </row>
    <row r="81">
      <c r="A81" s="1" t="s">
        <v>1824</v>
      </c>
      <c r="B81" s="177"/>
      <c r="C81" s="170" t="str">
        <f>IF(ISBLANK(A81),"",VLOOKUP(A81,DOI_URL!$B$1:$C$74,2,FALSE()))</f>
        <v>https://drive.google.com/file/d/1z5TEaHnUuEv3unfZMg5FX14KyquGwiA5/view?usp=sharing</v>
      </c>
      <c r="D81" s="1" t="s">
        <v>3311</v>
      </c>
      <c r="E81" s="1" t="s">
        <v>3311</v>
      </c>
      <c r="F81" s="1" t="s">
        <v>3598</v>
      </c>
      <c r="G81" s="1" t="s">
        <v>872</v>
      </c>
      <c r="H81" s="1" t="s">
        <v>3092</v>
      </c>
      <c r="J81" s="1" t="s">
        <v>44</v>
      </c>
      <c r="K81" s="1" t="s">
        <v>1826</v>
      </c>
    </row>
    <row r="82">
      <c r="A82" s="1" t="s">
        <v>1824</v>
      </c>
      <c r="B82" s="177"/>
      <c r="C82" s="170" t="str">
        <f>IF(ISBLANK(A82),"",VLOOKUP(A82,DOI_URL!$B$1:$C$74,2,FALSE()))</f>
        <v>https://drive.google.com/file/d/1z5TEaHnUuEv3unfZMg5FX14KyquGwiA5/view?usp=sharing</v>
      </c>
      <c r="D82" s="1" t="s">
        <v>3311</v>
      </c>
      <c r="E82" s="1" t="s">
        <v>3311</v>
      </c>
      <c r="F82" s="1" t="s">
        <v>3599</v>
      </c>
      <c r="H82" s="1" t="s">
        <v>3093</v>
      </c>
      <c r="J82" s="1" t="s">
        <v>44</v>
      </c>
      <c r="K82" s="1" t="s">
        <v>1826</v>
      </c>
    </row>
    <row r="83">
      <c r="A83" s="1" t="s">
        <v>1824</v>
      </c>
      <c r="B83" s="177"/>
      <c r="C83" s="170" t="str">
        <f>IF(ISBLANK(A83),"",VLOOKUP(A83,DOI_URL!$B$1:$C$74,2,FALSE()))</f>
        <v>https://drive.google.com/file/d/1z5TEaHnUuEv3unfZMg5FX14KyquGwiA5/view?usp=sharing</v>
      </c>
      <c r="D83" s="1" t="s">
        <v>3311</v>
      </c>
      <c r="E83" s="1" t="s">
        <v>3311</v>
      </c>
      <c r="F83" s="1" t="s">
        <v>3600</v>
      </c>
      <c r="H83" s="1" t="s">
        <v>1843</v>
      </c>
      <c r="I83" s="1" t="s">
        <v>1844</v>
      </c>
      <c r="J83" s="1" t="s">
        <v>14</v>
      </c>
      <c r="K83" s="1" t="s">
        <v>1826</v>
      </c>
    </row>
    <row r="84">
      <c r="A84" s="1" t="s">
        <v>1824</v>
      </c>
      <c r="B84" s="177"/>
      <c r="C84" s="170" t="str">
        <f>IF(ISBLANK(A84),"",VLOOKUP(A84,DOI_URL!$B$1:$C$74,2,FALSE()))</f>
        <v>https://drive.google.com/file/d/1z5TEaHnUuEv3unfZMg5FX14KyquGwiA5/view?usp=sharing</v>
      </c>
      <c r="D84" s="1" t="s">
        <v>3311</v>
      </c>
      <c r="E84" s="1" t="s">
        <v>3311</v>
      </c>
      <c r="F84" s="1" t="s">
        <v>3601</v>
      </c>
      <c r="H84" s="1" t="s">
        <v>3095</v>
      </c>
      <c r="I84" s="1" t="s">
        <v>1847</v>
      </c>
      <c r="J84" s="1" t="s">
        <v>54</v>
      </c>
      <c r="K84" s="1" t="s">
        <v>1826</v>
      </c>
    </row>
    <row r="85">
      <c r="A85" s="1" t="s">
        <v>1824</v>
      </c>
      <c r="B85" s="177"/>
      <c r="C85" s="170" t="str">
        <f>IF(ISBLANK(A85),"",VLOOKUP(A85,DOI_URL!$B$1:$C$74,2,FALSE()))</f>
        <v>https://drive.google.com/file/d/1z5TEaHnUuEv3unfZMg5FX14KyquGwiA5/view?usp=sharing</v>
      </c>
      <c r="D85" s="1" t="s">
        <v>3311</v>
      </c>
      <c r="E85" s="1" t="s">
        <v>3311</v>
      </c>
      <c r="F85" s="1" t="s">
        <v>3601</v>
      </c>
      <c r="G85" s="1" t="s">
        <v>872</v>
      </c>
      <c r="H85" s="1" t="s">
        <v>3096</v>
      </c>
      <c r="J85" s="1" t="s">
        <v>39</v>
      </c>
      <c r="K85" s="1" t="s">
        <v>1826</v>
      </c>
    </row>
    <row r="86">
      <c r="A86" s="1" t="s">
        <v>1824</v>
      </c>
      <c r="B86" s="177"/>
      <c r="C86" s="170" t="str">
        <f>IF(ISBLANK(A86),"",VLOOKUP(A86,DOI_URL!$B$1:$C$74,2,FALSE()))</f>
        <v>https://drive.google.com/file/d/1z5TEaHnUuEv3unfZMg5FX14KyquGwiA5/view?usp=sharing</v>
      </c>
      <c r="D86" s="1" t="s">
        <v>3311</v>
      </c>
      <c r="E86" s="1" t="s">
        <v>3311</v>
      </c>
      <c r="F86" s="1" t="s">
        <v>3602</v>
      </c>
      <c r="G86" s="1" t="s">
        <v>947</v>
      </c>
      <c r="H86" s="1" t="s">
        <v>3097</v>
      </c>
      <c r="J86" s="1" t="s">
        <v>39</v>
      </c>
      <c r="K86" s="1" t="s">
        <v>1826</v>
      </c>
    </row>
    <row r="87">
      <c r="A87" s="1" t="s">
        <v>1824</v>
      </c>
      <c r="B87" s="177"/>
      <c r="C87" s="170" t="str">
        <f>IF(ISBLANK(A87),"",VLOOKUP(A87,DOI_URL!$B$1:$C$74,2,FALSE()))</f>
        <v>https://drive.google.com/file/d/1z5TEaHnUuEv3unfZMg5FX14KyquGwiA5/view?usp=sharing</v>
      </c>
      <c r="D87" s="1" t="s">
        <v>3311</v>
      </c>
      <c r="E87" s="1" t="s">
        <v>3311</v>
      </c>
      <c r="F87" s="1" t="s">
        <v>3602</v>
      </c>
      <c r="G87" s="1" t="s">
        <v>3098</v>
      </c>
      <c r="H87" s="1" t="s">
        <v>3099</v>
      </c>
      <c r="I87" s="1" t="s">
        <v>3100</v>
      </c>
      <c r="J87" s="1" t="s">
        <v>39</v>
      </c>
      <c r="K87" s="1" t="s">
        <v>1826</v>
      </c>
    </row>
    <row r="88">
      <c r="A88" s="1" t="s">
        <v>1862</v>
      </c>
      <c r="B88" s="177"/>
      <c r="C88" s="170" t="str">
        <f>IF(ISBLANK(A88),"",VLOOKUP(A88,DOI_URL!$B$1:$C$74,2,FALSE()))</f>
        <v>https://drive.google.com/file/d/1oJmu4XdoMJGdGWjTgc0iju1-OsEWVYbm/view?usp=sharing</v>
      </c>
      <c r="D88" s="1" t="s">
        <v>3311</v>
      </c>
      <c r="E88" s="1" t="s">
        <v>3311</v>
      </c>
      <c r="F88" s="1" t="s">
        <v>3603</v>
      </c>
      <c r="H88" s="1" t="s">
        <v>1876</v>
      </c>
      <c r="J88" s="1" t="s">
        <v>44</v>
      </c>
      <c r="K88" s="1" t="s">
        <v>15</v>
      </c>
    </row>
    <row r="89">
      <c r="A89" s="1" t="s">
        <v>1862</v>
      </c>
      <c r="B89" s="177"/>
      <c r="C89" s="170" t="str">
        <f>IF(ISBLANK(A89),"",VLOOKUP(A89,DOI_URL!$B$1:$C$74,2,FALSE()))</f>
        <v>https://drive.google.com/file/d/1oJmu4XdoMJGdGWjTgc0iju1-OsEWVYbm/view?usp=sharing</v>
      </c>
      <c r="D89" s="1" t="s">
        <v>3311</v>
      </c>
      <c r="E89" s="1" t="s">
        <v>3311</v>
      </c>
      <c r="F89" s="1" t="s">
        <v>3604</v>
      </c>
      <c r="G89" s="1" t="s">
        <v>3113</v>
      </c>
      <c r="H89" s="1" t="s">
        <v>3114</v>
      </c>
      <c r="I89" s="1" t="s">
        <v>3115</v>
      </c>
      <c r="J89" s="1" t="s">
        <v>20</v>
      </c>
      <c r="K89" s="1" t="s">
        <v>15</v>
      </c>
    </row>
    <row r="90">
      <c r="A90" s="1" t="s">
        <v>1862</v>
      </c>
      <c r="B90" s="177"/>
      <c r="C90" s="170" t="str">
        <f>IF(ISBLANK(A90),"",VLOOKUP(A90,DOI_URL!$B$1:$C$74,2,FALSE()))</f>
        <v>https://drive.google.com/file/d/1oJmu4XdoMJGdGWjTgc0iju1-OsEWVYbm/view?usp=sharing</v>
      </c>
      <c r="D90" s="1" t="s">
        <v>3311</v>
      </c>
      <c r="E90" s="1" t="s">
        <v>3311</v>
      </c>
      <c r="F90" s="1" t="s">
        <v>3605</v>
      </c>
      <c r="H90" s="1" t="s">
        <v>1888</v>
      </c>
      <c r="I90" s="1" t="s">
        <v>1889</v>
      </c>
      <c r="J90" s="1" t="s">
        <v>39</v>
      </c>
      <c r="K90" s="1" t="s">
        <v>15</v>
      </c>
    </row>
    <row r="91">
      <c r="A91" s="1" t="s">
        <v>1862</v>
      </c>
      <c r="B91" s="177"/>
      <c r="C91" s="170" t="str">
        <f>IF(ISBLANK(A91),"",VLOOKUP(A91,DOI_URL!$B$1:$C$74,2,FALSE()))</f>
        <v>https://drive.google.com/file/d/1oJmu4XdoMJGdGWjTgc0iju1-OsEWVYbm/view?usp=sharing</v>
      </c>
      <c r="D91" s="1" t="s">
        <v>3311</v>
      </c>
      <c r="E91" s="1" t="s">
        <v>3311</v>
      </c>
      <c r="F91" s="1" t="s">
        <v>3606</v>
      </c>
      <c r="H91" s="1" t="s">
        <v>1892</v>
      </c>
      <c r="J91" s="1" t="s">
        <v>39</v>
      </c>
      <c r="K91" s="1" t="s">
        <v>15</v>
      </c>
    </row>
    <row r="92">
      <c r="A92" s="1" t="s">
        <v>1862</v>
      </c>
      <c r="B92" s="177"/>
      <c r="C92" s="170" t="str">
        <f>IF(ISBLANK(A92),"",VLOOKUP(A92,DOI_URL!$B$1:$C$74,2,FALSE()))</f>
        <v>https://drive.google.com/file/d/1oJmu4XdoMJGdGWjTgc0iju1-OsEWVYbm/view?usp=sharing</v>
      </c>
      <c r="D92" s="1" t="s">
        <v>3311</v>
      </c>
      <c r="E92" s="1" t="s">
        <v>3311</v>
      </c>
      <c r="F92" s="1" t="s">
        <v>3607</v>
      </c>
      <c r="H92" s="1" t="s">
        <v>3608</v>
      </c>
      <c r="J92" s="1" t="s">
        <v>39</v>
      </c>
      <c r="K92" s="1" t="s">
        <v>15</v>
      </c>
    </row>
    <row r="93">
      <c r="A93" s="1" t="s">
        <v>1494</v>
      </c>
      <c r="B93" s="177"/>
      <c r="C93" s="170" t="str">
        <f>IF(ISBLANK(A93),"",VLOOKUP(A93,DOI_URL!$B$1:$C$74,2,FALSE()))</f>
        <v>https://drive.google.com/file/d/1vCZ1Z95iHTJL-SXYG0vC7s-PUDfhT4i1/view?usp=sharing</v>
      </c>
      <c r="D93" s="1" t="s">
        <v>3311</v>
      </c>
      <c r="E93" s="1" t="s">
        <v>3311</v>
      </c>
      <c r="F93" s="1" t="s">
        <v>3609</v>
      </c>
      <c r="H93" s="1" t="s">
        <v>3001</v>
      </c>
      <c r="I93" s="1" t="s">
        <v>3002</v>
      </c>
      <c r="J93" s="1" t="s">
        <v>39</v>
      </c>
      <c r="K93" s="1" t="s">
        <v>15</v>
      </c>
    </row>
    <row r="94">
      <c r="A94" s="1" t="s">
        <v>1494</v>
      </c>
      <c r="B94" s="177"/>
      <c r="C94" s="170" t="str">
        <f>IF(ISBLANK(A94),"",VLOOKUP(A94,DOI_URL!$B$1:$C$74,2,FALSE()))</f>
        <v>https://drive.google.com/file/d/1vCZ1Z95iHTJL-SXYG0vC7s-PUDfhT4i1/view?usp=sharing</v>
      </c>
      <c r="D94" s="1" t="s">
        <v>3311</v>
      </c>
      <c r="E94" s="1" t="s">
        <v>3311</v>
      </c>
      <c r="F94" s="1" t="s">
        <v>3610</v>
      </c>
      <c r="H94" s="1" t="s">
        <v>3003</v>
      </c>
      <c r="J94" s="1" t="s">
        <v>39</v>
      </c>
      <c r="K94" s="1" t="s">
        <v>15</v>
      </c>
    </row>
    <row r="95">
      <c r="A95" s="1" t="s">
        <v>1470</v>
      </c>
      <c r="B95" s="177"/>
      <c r="C95" s="170" t="str">
        <f>IF(ISBLANK(A95),"",VLOOKUP(A95,DOI_URL!$B$1:$C$74,2,FALSE()))</f>
        <v>https://drive.google.com/file/d/1D5EZ-uP8FTXC_qmBJn8JNXqugjQ-QF33/view?usp=sharing</v>
      </c>
      <c r="D95" s="1" t="s">
        <v>3311</v>
      </c>
      <c r="E95" s="1" t="s">
        <v>3311</v>
      </c>
      <c r="F95" s="1" t="s">
        <v>3611</v>
      </c>
      <c r="H95" s="1" t="s">
        <v>1480</v>
      </c>
      <c r="I95" s="1" t="s">
        <v>2984</v>
      </c>
      <c r="J95" s="1" t="s">
        <v>54</v>
      </c>
      <c r="K95" s="1" t="s">
        <v>2988</v>
      </c>
    </row>
    <row r="96">
      <c r="A96" s="1" t="s">
        <v>1470</v>
      </c>
      <c r="B96" s="177"/>
      <c r="C96" s="170" t="str">
        <f>IF(ISBLANK(A96),"",VLOOKUP(A96,DOI_URL!$B$1:$C$74,2,FALSE()))</f>
        <v>https://drive.google.com/file/d/1D5EZ-uP8FTXC_qmBJn8JNXqugjQ-QF33/view?usp=sharing</v>
      </c>
      <c r="D96" s="1" t="s">
        <v>3311</v>
      </c>
      <c r="E96" s="1" t="s">
        <v>3311</v>
      </c>
      <c r="F96" s="1" t="s">
        <v>3612</v>
      </c>
      <c r="G96" s="1" t="s">
        <v>3588</v>
      </c>
      <c r="H96" s="1" t="s">
        <v>2989</v>
      </c>
      <c r="J96" s="1" t="s">
        <v>39</v>
      </c>
      <c r="K96" s="1" t="s">
        <v>2988</v>
      </c>
    </row>
    <row r="97">
      <c r="A97" s="8"/>
      <c r="B97" s="177"/>
      <c r="C97" s="8" t="str">
        <f>IF(ISBLANK(A97),"",VLOOKUP(A97,DOI_URL!$B$1:$C$74,2,FALSE()))</f>
        <v/>
      </c>
      <c r="D97" s="8"/>
      <c r="E97" s="8"/>
      <c r="H97" s="1"/>
      <c r="J97" s="8"/>
      <c r="K97" s="8"/>
    </row>
    <row r="98">
      <c r="A98" s="8"/>
      <c r="B98" s="177"/>
      <c r="C98" s="8" t="str">
        <f>IF(ISBLANK(A98),"",VLOOKUP(A98,DOI_URL!$B$1:$C$74,2,FALSE()))</f>
        <v/>
      </c>
      <c r="D98" s="8"/>
      <c r="E98" s="8"/>
      <c r="J98" s="8"/>
      <c r="K98" s="8"/>
    </row>
    <row r="99">
      <c r="A99" s="8"/>
      <c r="B99" s="177"/>
      <c r="C99" s="8" t="str">
        <f>IF(ISBLANK(A99),"",VLOOKUP(A99,DOI_URL!$B$1:$C$74,2,FALSE()))</f>
        <v/>
      </c>
      <c r="D99" s="8"/>
      <c r="E99" s="8"/>
      <c r="J99" s="8"/>
      <c r="K99" s="8"/>
    </row>
    <row r="100">
      <c r="A100" s="8"/>
      <c r="B100" s="177"/>
      <c r="C100" s="8" t="str">
        <f>IF(ISBLANK(A100),"",VLOOKUP(A100,DOI_URL!$B$1:$C$74,2,FALSE()))</f>
        <v/>
      </c>
      <c r="D100" s="8"/>
      <c r="E100" s="8"/>
      <c r="J100" s="8"/>
      <c r="K100" s="8"/>
    </row>
    <row r="101">
      <c r="A101" s="8"/>
      <c r="B101" s="177"/>
      <c r="C101" s="8" t="str">
        <f>IF(ISBLANK(A101),"",VLOOKUP(A101,DOI_URL!$B$1:$C$74,2,FALSE()))</f>
        <v/>
      </c>
      <c r="D101" s="8"/>
      <c r="E101" s="8"/>
      <c r="J101" s="8"/>
      <c r="K101" s="8"/>
    </row>
    <row r="102">
      <c r="A102" s="8"/>
      <c r="B102" s="177"/>
      <c r="C102" s="8" t="str">
        <f>IF(ISBLANK(A102),"",VLOOKUP(A102,DOI_URL!$B$1:$C$74,2,FALSE()))</f>
        <v/>
      </c>
      <c r="D102" s="8"/>
      <c r="E102" s="8"/>
      <c r="J102" s="8"/>
      <c r="K102" s="8"/>
    </row>
    <row r="103">
      <c r="A103" s="8"/>
      <c r="B103" s="177"/>
      <c r="C103" s="8" t="str">
        <f>IF(ISBLANK(A103),"",VLOOKUP(A103,DOI_URL!$B$1:$C$74,2,FALSE()))</f>
        <v/>
      </c>
      <c r="D103" s="8"/>
      <c r="E103" s="8"/>
      <c r="J103" s="8"/>
      <c r="K103" s="8"/>
    </row>
    <row r="104">
      <c r="A104" s="8"/>
      <c r="B104" s="177"/>
      <c r="C104" s="8" t="str">
        <f>IF(ISBLANK(A104),"",VLOOKUP(A104,DOI_URL!$B$1:$C$74,2,FALSE()))</f>
        <v/>
      </c>
      <c r="D104" s="8"/>
      <c r="E104" s="8"/>
      <c r="J104" s="8"/>
      <c r="K104" s="8"/>
    </row>
    <row r="105">
      <c r="A105" s="8"/>
      <c r="B105" s="177"/>
      <c r="C105" s="8" t="str">
        <f>IF(ISBLANK(A105),"",VLOOKUP(A105,DOI_URL!$B$1:$C$74,2,FALSE()))</f>
        <v/>
      </c>
      <c r="D105" s="8"/>
      <c r="E105" s="8"/>
      <c r="J105" s="8"/>
      <c r="K105" s="8"/>
    </row>
    <row r="106">
      <c r="A106" s="8"/>
      <c r="B106" s="177"/>
      <c r="C106" s="8" t="str">
        <f>IF(ISBLANK(A106),"",VLOOKUP(A106,DOI_URL!$B$1:$C$74,2,FALSE()))</f>
        <v/>
      </c>
      <c r="D106" s="8"/>
      <c r="E106" s="8"/>
      <c r="J106" s="8"/>
      <c r="K106" s="8"/>
    </row>
    <row r="107">
      <c r="A107" s="8"/>
      <c r="B107" s="177"/>
      <c r="C107" s="8" t="str">
        <f>IF(ISBLANK(A107),"",VLOOKUP(A107,DOI_URL!$B$1:$C$74,2,FALSE()))</f>
        <v/>
      </c>
      <c r="D107" s="8"/>
      <c r="E107" s="8"/>
      <c r="J107" s="8"/>
      <c r="K107" s="8"/>
    </row>
    <row r="108">
      <c r="A108" s="8"/>
      <c r="B108" s="177"/>
      <c r="C108" s="8" t="str">
        <f>IF(ISBLANK(A108),"",VLOOKUP(A108,DOI_URL!$B$1:$C$74,2,FALSE()))</f>
        <v/>
      </c>
      <c r="D108" s="8"/>
      <c r="E108" s="8"/>
      <c r="J108" s="8"/>
      <c r="K108" s="8"/>
    </row>
    <row r="109">
      <c r="A109" s="8"/>
      <c r="B109" s="177"/>
      <c r="C109" s="8" t="str">
        <f>IF(ISBLANK(A109),"",VLOOKUP(A109,DOI_URL!$B$1:$C$74,2,FALSE()))</f>
        <v/>
      </c>
      <c r="D109" s="8"/>
      <c r="E109" s="8"/>
      <c r="J109" s="8"/>
      <c r="K109" s="8"/>
    </row>
    <row r="110">
      <c r="A110" s="8"/>
      <c r="B110" s="177"/>
      <c r="C110" s="8" t="str">
        <f>IF(ISBLANK(A110),"",VLOOKUP(A110,DOI_URL!$B$1:$C$74,2,FALSE()))</f>
        <v/>
      </c>
      <c r="D110" s="8"/>
      <c r="E110" s="8"/>
      <c r="J110" s="8"/>
      <c r="K110" s="8"/>
    </row>
    <row r="111">
      <c r="A111" s="8"/>
      <c r="B111" s="177"/>
      <c r="C111" s="8" t="str">
        <f>IF(ISBLANK(A111),"",VLOOKUP(A111,DOI_URL!$B$1:$C$74,2,FALSE()))</f>
        <v/>
      </c>
      <c r="D111" s="8"/>
      <c r="E111" s="8"/>
      <c r="J111" s="8"/>
      <c r="K111" s="8"/>
    </row>
    <row r="112">
      <c r="A112" s="8"/>
      <c r="B112" s="177"/>
      <c r="C112" s="8" t="str">
        <f>IF(ISBLANK(A112),"",VLOOKUP(A112,DOI_URL!$B$1:$C$74,2,FALSE()))</f>
        <v/>
      </c>
      <c r="D112" s="8"/>
      <c r="E112" s="8"/>
      <c r="J112" s="8"/>
      <c r="K112" s="8"/>
    </row>
    <row r="113">
      <c r="A113" s="8"/>
      <c r="B113" s="177"/>
      <c r="C113" s="8" t="str">
        <f>IF(ISBLANK(A113),"",VLOOKUP(A113,DOI_URL!$B$1:$C$74,2,FALSE()))</f>
        <v/>
      </c>
      <c r="D113" s="8"/>
      <c r="E113" s="8"/>
      <c r="J113" s="8"/>
      <c r="K113" s="8"/>
    </row>
    <row r="114">
      <c r="A114" s="8"/>
      <c r="B114" s="177"/>
      <c r="C114" s="8" t="str">
        <f>IF(ISBLANK(A114),"",VLOOKUP(A114,DOI_URL!$B$1:$C$74,2,FALSE()))</f>
        <v/>
      </c>
      <c r="D114" s="8"/>
      <c r="E114" s="8"/>
      <c r="J114" s="8"/>
      <c r="K114" s="8"/>
    </row>
    <row r="115">
      <c r="A115" s="8"/>
      <c r="B115" s="177"/>
      <c r="C115" s="8" t="str">
        <f>IF(ISBLANK(A115),"",VLOOKUP(A115,DOI_URL!$B$1:$C$74,2,FALSE()))</f>
        <v/>
      </c>
      <c r="D115" s="8"/>
      <c r="E115" s="8"/>
      <c r="J115" s="8"/>
      <c r="K115" s="8"/>
    </row>
    <row r="116">
      <c r="A116" s="8"/>
      <c r="B116" s="177"/>
      <c r="C116" s="8" t="str">
        <f>IF(ISBLANK(A116),"",VLOOKUP(A116,DOI_URL!$B$1:$C$74,2,FALSE()))</f>
        <v/>
      </c>
      <c r="D116" s="8"/>
      <c r="E116" s="8"/>
      <c r="J116" s="8"/>
      <c r="K116" s="8"/>
    </row>
    <row r="117">
      <c r="A117" s="8"/>
      <c r="B117" s="177"/>
      <c r="C117" s="8" t="str">
        <f>IF(ISBLANK(A117),"",VLOOKUP(A117,DOI_URL!$B$1:$C$74,2,FALSE()))</f>
        <v/>
      </c>
      <c r="D117" s="8"/>
      <c r="E117" s="8"/>
      <c r="J117" s="8"/>
      <c r="K117" s="8"/>
    </row>
    <row r="118">
      <c r="A118" s="8"/>
      <c r="B118" s="177"/>
      <c r="C118" s="8" t="str">
        <f>IF(ISBLANK(A118),"",VLOOKUP(A118,DOI_URL!$B$1:$C$74,2,FALSE()))</f>
        <v/>
      </c>
      <c r="D118" s="8"/>
      <c r="E118" s="8"/>
      <c r="J118" s="8"/>
      <c r="K118" s="8"/>
    </row>
    <row r="119">
      <c r="A119" s="8"/>
      <c r="B119" s="177"/>
      <c r="C119" s="8" t="str">
        <f>IF(ISBLANK(A119),"",VLOOKUP(A119,DOI_URL!$B$1:$C$74,2,FALSE()))</f>
        <v/>
      </c>
      <c r="D119" s="8"/>
      <c r="E119" s="8"/>
      <c r="J119" s="8"/>
      <c r="K119" s="8"/>
    </row>
    <row r="120">
      <c r="A120" s="8"/>
      <c r="B120" s="177"/>
      <c r="C120" s="8" t="str">
        <f>IF(ISBLANK(A120),"",VLOOKUP(A120,DOI_URL!$B$1:$C$74,2,FALSE()))</f>
        <v/>
      </c>
      <c r="D120" s="8"/>
      <c r="E120" s="8"/>
      <c r="J120" s="8"/>
      <c r="K120" s="8"/>
    </row>
    <row r="121">
      <c r="A121" s="8"/>
      <c r="B121" s="177"/>
      <c r="C121" s="8" t="str">
        <f>IF(ISBLANK(A121),"",VLOOKUP(A121,DOI_URL!$B$1:$C$74,2,FALSE()))</f>
        <v/>
      </c>
      <c r="D121" s="8"/>
      <c r="E121" s="8"/>
      <c r="J121" s="8"/>
      <c r="K121" s="8"/>
    </row>
    <row r="122">
      <c r="A122" s="8"/>
      <c r="B122" s="177"/>
      <c r="C122" s="8" t="str">
        <f>IF(ISBLANK(A122),"",VLOOKUP(A122,DOI_URL!$B$1:$C$74,2,FALSE()))</f>
        <v/>
      </c>
      <c r="D122" s="8"/>
      <c r="E122" s="8"/>
      <c r="J122" s="8"/>
      <c r="K122" s="8"/>
    </row>
    <row r="123">
      <c r="A123" s="8"/>
      <c r="B123" s="177"/>
      <c r="C123" s="8" t="str">
        <f>IF(ISBLANK(A123),"",VLOOKUP(A123,DOI_URL!$B$1:$C$74,2,FALSE()))</f>
        <v/>
      </c>
      <c r="D123" s="8"/>
      <c r="E123" s="8"/>
      <c r="J123" s="8"/>
      <c r="K123" s="8"/>
    </row>
    <row r="124">
      <c r="A124" s="8"/>
      <c r="B124" s="177"/>
      <c r="C124" s="8" t="str">
        <f>IF(ISBLANK(A124),"",VLOOKUP(A124,DOI_URL!$B$1:$C$74,2,FALSE()))</f>
        <v/>
      </c>
      <c r="D124" s="8"/>
      <c r="E124" s="8"/>
      <c r="J124" s="8"/>
      <c r="K124" s="8"/>
    </row>
    <row r="125">
      <c r="A125" s="8"/>
      <c r="B125" s="177"/>
      <c r="C125" s="8" t="str">
        <f>IF(ISBLANK(A125),"",VLOOKUP(A125,DOI_URL!$B$1:$C$74,2,FALSE()))</f>
        <v/>
      </c>
      <c r="D125" s="8"/>
      <c r="E125" s="8"/>
      <c r="J125" s="8"/>
      <c r="K125" s="8"/>
    </row>
    <row r="126">
      <c r="A126" s="8"/>
      <c r="B126" s="177"/>
      <c r="C126" s="8" t="str">
        <f>IF(ISBLANK(A126),"",VLOOKUP(A126,DOI_URL!$B$1:$C$74,2,FALSE()))</f>
        <v/>
      </c>
      <c r="D126" s="8"/>
      <c r="E126" s="8"/>
      <c r="J126" s="8"/>
      <c r="K126" s="8"/>
    </row>
    <row r="127">
      <c r="A127" s="8"/>
      <c r="B127" s="177"/>
      <c r="C127" s="8" t="str">
        <f>IF(ISBLANK(A127),"",VLOOKUP(A127,DOI_URL!$B$1:$C$74,2,FALSE()))</f>
        <v/>
      </c>
      <c r="D127" s="8"/>
      <c r="E127" s="8"/>
      <c r="J127" s="8"/>
      <c r="K127" s="8"/>
    </row>
    <row r="128">
      <c r="A128" s="8"/>
      <c r="B128" s="177"/>
      <c r="C128" s="8" t="str">
        <f>IF(ISBLANK(A128),"",VLOOKUP(A128,DOI_URL!$B$1:$C$74,2,FALSE()))</f>
        <v/>
      </c>
      <c r="D128" s="8"/>
      <c r="E128" s="8"/>
      <c r="J128" s="8"/>
      <c r="K128" s="8"/>
    </row>
    <row r="129">
      <c r="A129" s="8"/>
      <c r="B129" s="177"/>
      <c r="C129" s="8" t="str">
        <f>IF(ISBLANK(A129),"",VLOOKUP(A129,DOI_URL!$B$1:$C$74,2,FALSE()))</f>
        <v/>
      </c>
      <c r="D129" s="8"/>
      <c r="E129" s="8"/>
      <c r="J129" s="8"/>
      <c r="K129" s="8"/>
    </row>
    <row r="130">
      <c r="A130" s="8"/>
      <c r="B130" s="177"/>
      <c r="C130" s="8" t="str">
        <f>IF(ISBLANK(A130),"",VLOOKUP(A130,DOI_URL!$B$1:$C$74,2,FALSE()))</f>
        <v/>
      </c>
      <c r="D130" s="8"/>
      <c r="E130" s="8"/>
      <c r="J130" s="8"/>
      <c r="K130" s="8"/>
    </row>
    <row r="131">
      <c r="A131" s="8"/>
      <c r="B131" s="177"/>
      <c r="C131" s="8" t="str">
        <f>IF(ISBLANK(A131),"",VLOOKUP(A131,DOI_URL!$B$1:$C$74,2,FALSE()))</f>
        <v/>
      </c>
      <c r="D131" s="8"/>
      <c r="E131" s="8"/>
      <c r="J131" s="8"/>
      <c r="K131" s="8"/>
    </row>
    <row r="132">
      <c r="A132" s="8"/>
      <c r="B132" s="177"/>
      <c r="C132" s="8" t="str">
        <f>IF(ISBLANK(A132),"",VLOOKUP(A132,DOI_URL!$B$1:$C$74,2,FALSE()))</f>
        <v/>
      </c>
      <c r="D132" s="8"/>
      <c r="E132" s="8"/>
      <c r="J132" s="8"/>
      <c r="K132" s="8"/>
    </row>
    <row r="133">
      <c r="A133" s="8"/>
      <c r="B133" s="177"/>
      <c r="C133" s="8" t="str">
        <f>IF(ISBLANK(A133),"",VLOOKUP(A133,DOI_URL!$B$1:$C$74,2,FALSE()))</f>
        <v/>
      </c>
      <c r="D133" s="8"/>
      <c r="E133" s="8"/>
      <c r="J133" s="8"/>
      <c r="K133" s="8"/>
    </row>
    <row r="134">
      <c r="A134" s="8"/>
      <c r="B134" s="177"/>
      <c r="C134" s="8" t="str">
        <f>IF(ISBLANK(A134),"",VLOOKUP(A134,DOI_URL!$B$1:$C$74,2,FALSE()))</f>
        <v/>
      </c>
      <c r="D134" s="8"/>
      <c r="E134" s="8"/>
      <c r="J134" s="8"/>
      <c r="K134" s="8"/>
    </row>
    <row r="135">
      <c r="A135" s="8"/>
      <c r="B135" s="177"/>
      <c r="C135" s="8" t="str">
        <f>IF(ISBLANK(A135),"",VLOOKUP(A135,DOI_URL!$B$1:$C$74,2,FALSE()))</f>
        <v/>
      </c>
      <c r="D135" s="8"/>
      <c r="E135" s="8"/>
      <c r="J135" s="8"/>
      <c r="K135" s="8"/>
    </row>
    <row r="136">
      <c r="A136" s="8"/>
      <c r="B136" s="177"/>
      <c r="C136" s="8" t="str">
        <f>IF(ISBLANK(A136),"",VLOOKUP(A136,DOI_URL!$B$1:$C$74,2,FALSE()))</f>
        <v/>
      </c>
      <c r="D136" s="8"/>
      <c r="E136" s="8"/>
      <c r="J136" s="8"/>
      <c r="K136" s="8"/>
    </row>
    <row r="137">
      <c r="A137" s="8"/>
      <c r="B137" s="177"/>
      <c r="C137" s="8" t="str">
        <f>IF(ISBLANK(A137),"",VLOOKUP(A137,DOI_URL!$B$1:$C$74,2,FALSE()))</f>
        <v/>
      </c>
      <c r="D137" s="8"/>
      <c r="E137" s="8"/>
      <c r="J137" s="8"/>
      <c r="K137" s="8"/>
    </row>
    <row r="138">
      <c r="A138" s="8"/>
      <c r="B138" s="177"/>
      <c r="C138" s="8" t="str">
        <f>IF(ISBLANK(A138),"",VLOOKUP(A138,DOI_URL!$B$1:$C$74,2,FALSE()))</f>
        <v/>
      </c>
      <c r="D138" s="8"/>
      <c r="E138" s="8"/>
      <c r="J138" s="8"/>
      <c r="K138" s="8"/>
    </row>
    <row r="139">
      <c r="A139" s="8"/>
      <c r="B139" s="177"/>
      <c r="C139" s="8" t="str">
        <f>IF(ISBLANK(A139),"",VLOOKUP(A139,DOI_URL!$B$1:$C$74,2,FALSE()))</f>
        <v/>
      </c>
      <c r="D139" s="8"/>
      <c r="E139" s="8"/>
      <c r="J139" s="8"/>
      <c r="K139" s="8"/>
    </row>
    <row r="140">
      <c r="A140" s="8"/>
      <c r="B140" s="177"/>
      <c r="C140" s="8" t="str">
        <f>IF(ISBLANK(A140),"",VLOOKUP(A140,DOI_URL!$B$1:$C$74,2,FALSE()))</f>
        <v/>
      </c>
      <c r="D140" s="8"/>
      <c r="E140" s="8"/>
      <c r="J140" s="8"/>
      <c r="K140" s="8"/>
    </row>
    <row r="141">
      <c r="A141" s="8"/>
      <c r="B141" s="177"/>
      <c r="C141" s="8" t="str">
        <f>IF(ISBLANK(A141),"",VLOOKUP(A141,DOI_URL!$B$1:$C$74,2,FALSE()))</f>
        <v/>
      </c>
      <c r="D141" s="8"/>
      <c r="E141" s="8"/>
      <c r="J141" s="8"/>
      <c r="K141" s="8"/>
    </row>
    <row r="142">
      <c r="A142" s="8"/>
      <c r="B142" s="177"/>
      <c r="C142" s="8" t="str">
        <f>IF(ISBLANK(A142),"",VLOOKUP(A142,DOI_URL!$B$1:$C$74,2,FALSE()))</f>
        <v/>
      </c>
      <c r="D142" s="8"/>
      <c r="E142" s="8"/>
      <c r="J142" s="8"/>
      <c r="K142" s="8"/>
    </row>
    <row r="143">
      <c r="A143" s="8"/>
      <c r="B143" s="177"/>
      <c r="C143" s="8" t="str">
        <f>IF(ISBLANK(A143),"",VLOOKUP(A143,DOI_URL!$B$1:$C$74,2,FALSE()))</f>
        <v/>
      </c>
      <c r="D143" s="8"/>
      <c r="E143" s="8"/>
      <c r="J143" s="8"/>
      <c r="K143" s="8"/>
    </row>
    <row r="144">
      <c r="A144" s="8"/>
      <c r="B144" s="177"/>
      <c r="C144" s="8" t="str">
        <f>IF(ISBLANK(A144),"",VLOOKUP(A144,DOI_URL!$B$1:$C$74,2,FALSE()))</f>
        <v/>
      </c>
      <c r="D144" s="8"/>
      <c r="E144" s="8"/>
      <c r="J144" s="8"/>
      <c r="K144" s="8"/>
    </row>
    <row r="145">
      <c r="A145" s="8"/>
      <c r="B145" s="177"/>
      <c r="C145" s="8" t="str">
        <f>IF(ISBLANK(A145),"",VLOOKUP(A145,DOI_URL!$B$1:$C$74,2,FALSE()))</f>
        <v/>
      </c>
      <c r="D145" s="8"/>
      <c r="E145" s="8"/>
      <c r="J145" s="8"/>
      <c r="K145" s="8"/>
    </row>
    <row r="146">
      <c r="A146" s="8"/>
      <c r="B146" s="177"/>
      <c r="C146" s="8" t="str">
        <f>IF(ISBLANK(A146),"",VLOOKUP(A146,DOI_URL!$B$1:$C$74,2,FALSE()))</f>
        <v/>
      </c>
      <c r="D146" s="8"/>
      <c r="E146" s="8"/>
      <c r="J146" s="8"/>
      <c r="K146" s="8"/>
    </row>
    <row r="147">
      <c r="A147" s="8"/>
      <c r="B147" s="177"/>
      <c r="C147" s="8" t="str">
        <f>IF(ISBLANK(A147),"",VLOOKUP(A147,DOI_URL!$B$1:$C$74,2,FALSE()))</f>
        <v/>
      </c>
      <c r="D147" s="8"/>
      <c r="E147" s="8"/>
      <c r="J147" s="8"/>
      <c r="K147" s="8"/>
    </row>
    <row r="148">
      <c r="A148" s="8"/>
      <c r="B148" s="177"/>
      <c r="C148" s="8" t="str">
        <f>IF(ISBLANK(A148),"",VLOOKUP(A148,DOI_URL!$B$1:$C$74,2,FALSE()))</f>
        <v/>
      </c>
      <c r="D148" s="8"/>
      <c r="E148" s="8"/>
      <c r="J148" s="8"/>
      <c r="K148" s="8"/>
    </row>
    <row r="149">
      <c r="A149" s="8"/>
      <c r="B149" s="177"/>
      <c r="C149" s="8" t="str">
        <f>IF(ISBLANK(A149),"",VLOOKUP(A149,DOI_URL!$B$1:$C$74,2,FALSE()))</f>
        <v/>
      </c>
      <c r="D149" s="8"/>
      <c r="E149" s="8"/>
      <c r="J149" s="8"/>
      <c r="K149" s="8"/>
    </row>
    <row r="150">
      <c r="A150" s="8"/>
      <c r="B150" s="177"/>
      <c r="C150" s="8" t="str">
        <f>IF(ISBLANK(A150),"",VLOOKUP(A150,DOI_URL!$B$1:$C$74,2,FALSE()))</f>
        <v/>
      </c>
      <c r="D150" s="8"/>
      <c r="E150" s="8"/>
      <c r="J150" s="8"/>
      <c r="K150" s="8"/>
    </row>
    <row r="151">
      <c r="A151" s="8"/>
      <c r="B151" s="177"/>
      <c r="C151" s="8" t="str">
        <f>IF(ISBLANK(A151),"",VLOOKUP(A151,DOI_URL!$B$1:$C$74,2,FALSE()))</f>
        <v/>
      </c>
      <c r="D151" s="8"/>
      <c r="E151" s="8"/>
      <c r="J151" s="8"/>
      <c r="K151" s="8"/>
    </row>
    <row r="152">
      <c r="A152" s="8"/>
      <c r="B152" s="177"/>
      <c r="C152" s="8" t="str">
        <f>IF(ISBLANK(A152),"",VLOOKUP(A152,DOI_URL!$B$1:$C$74,2,FALSE()))</f>
        <v/>
      </c>
      <c r="D152" s="8"/>
      <c r="E152" s="8"/>
      <c r="J152" s="8"/>
      <c r="K152" s="8"/>
    </row>
    <row r="153">
      <c r="A153" s="8"/>
      <c r="B153" s="177"/>
      <c r="C153" s="8" t="str">
        <f>IF(ISBLANK(A153),"",VLOOKUP(A153,DOI_URL!$B$1:$C$74,2,FALSE()))</f>
        <v/>
      </c>
      <c r="D153" s="8"/>
      <c r="E153" s="8"/>
      <c r="J153" s="8"/>
      <c r="K153" s="8"/>
    </row>
    <row r="154">
      <c r="A154" s="8"/>
      <c r="B154" s="177"/>
      <c r="C154" s="8" t="str">
        <f>IF(ISBLANK(A154),"",VLOOKUP(A154,DOI_URL!$B$1:$C$74,2,FALSE()))</f>
        <v/>
      </c>
      <c r="D154" s="8"/>
      <c r="E154" s="8"/>
      <c r="J154" s="8"/>
      <c r="K154" s="8"/>
    </row>
    <row r="155">
      <c r="A155" s="8"/>
      <c r="B155" s="177"/>
      <c r="C155" s="8" t="str">
        <f>IF(ISBLANK(A155),"",VLOOKUP(A155,DOI_URL!$B$1:$C$74,2,FALSE()))</f>
        <v/>
      </c>
      <c r="D155" s="8"/>
      <c r="E155" s="8"/>
      <c r="J155" s="8"/>
      <c r="K155" s="8"/>
    </row>
    <row r="156">
      <c r="A156" s="8"/>
      <c r="B156" s="177"/>
      <c r="C156" s="8" t="str">
        <f>IF(ISBLANK(A156),"",VLOOKUP(A156,DOI_URL!$B$1:$C$74,2,FALSE()))</f>
        <v/>
      </c>
      <c r="D156" s="8"/>
      <c r="E156" s="8"/>
      <c r="J156" s="8"/>
      <c r="K156" s="8"/>
    </row>
    <row r="157">
      <c r="A157" s="8"/>
      <c r="B157" s="177"/>
      <c r="C157" s="8" t="str">
        <f>IF(ISBLANK(A157),"",VLOOKUP(A157,DOI_URL!$B$1:$C$74,2,FALSE()))</f>
        <v/>
      </c>
      <c r="D157" s="8"/>
      <c r="E157" s="8"/>
      <c r="J157" s="8"/>
      <c r="K157" s="8"/>
    </row>
    <row r="158">
      <c r="A158" s="8"/>
      <c r="B158" s="177"/>
      <c r="C158" s="8" t="str">
        <f>IF(ISBLANK(A158),"",VLOOKUP(A158,DOI_URL!$B$1:$C$74,2,FALSE()))</f>
        <v/>
      </c>
      <c r="D158" s="8"/>
      <c r="E158" s="8"/>
      <c r="J158" s="8"/>
      <c r="K158" s="8"/>
    </row>
    <row r="159">
      <c r="A159" s="8"/>
      <c r="B159" s="177"/>
      <c r="C159" s="8" t="str">
        <f>IF(ISBLANK(A159),"",VLOOKUP(A159,DOI_URL!$B$1:$C$74,2,FALSE()))</f>
        <v/>
      </c>
      <c r="D159" s="8"/>
      <c r="E159" s="8"/>
      <c r="J159" s="8"/>
      <c r="K159" s="8"/>
    </row>
    <row r="160">
      <c r="A160" s="8"/>
      <c r="B160" s="177"/>
      <c r="C160" s="8" t="str">
        <f>IF(ISBLANK(A160),"",VLOOKUP(A160,DOI_URL!$B$1:$C$74,2,FALSE()))</f>
        <v/>
      </c>
      <c r="D160" s="8"/>
      <c r="E160" s="8"/>
      <c r="J160" s="8"/>
      <c r="K160" s="8"/>
    </row>
    <row r="161">
      <c r="A161" s="8"/>
      <c r="B161" s="177"/>
      <c r="C161" s="8" t="str">
        <f>IF(ISBLANK(A161),"",VLOOKUP(A161,DOI_URL!$B$1:$C$74,2,FALSE()))</f>
        <v/>
      </c>
      <c r="D161" s="8"/>
      <c r="E161" s="8"/>
      <c r="J161" s="8"/>
      <c r="K161" s="8"/>
    </row>
    <row r="162">
      <c r="A162" s="8"/>
      <c r="B162" s="177"/>
      <c r="C162" s="8" t="str">
        <f>IF(ISBLANK(A162),"",VLOOKUP(A162,DOI_URL!$B$1:$C$74,2,FALSE()))</f>
        <v/>
      </c>
      <c r="D162" s="8"/>
      <c r="E162" s="8"/>
      <c r="J162" s="8"/>
      <c r="K162" s="8"/>
    </row>
    <row r="163">
      <c r="A163" s="8"/>
      <c r="B163" s="177"/>
      <c r="C163" s="8" t="str">
        <f>IF(ISBLANK(A163),"",VLOOKUP(A163,DOI_URL!$B$1:$C$74,2,FALSE()))</f>
        <v/>
      </c>
      <c r="D163" s="8"/>
      <c r="E163" s="8"/>
      <c r="J163" s="8"/>
      <c r="K163" s="8"/>
    </row>
    <row r="164">
      <c r="A164" s="8"/>
      <c r="B164" s="177"/>
      <c r="C164" s="8" t="str">
        <f>IF(ISBLANK(A164),"",VLOOKUP(A164,DOI_URL!$B$1:$C$74,2,FALSE()))</f>
        <v/>
      </c>
      <c r="D164" s="8"/>
      <c r="E164" s="8"/>
      <c r="J164" s="8"/>
      <c r="K164" s="8"/>
    </row>
    <row r="165">
      <c r="A165" s="8"/>
      <c r="B165" s="177"/>
      <c r="C165" s="8" t="str">
        <f>IF(ISBLANK(A165),"",VLOOKUP(A165,DOI_URL!$B$1:$C$74,2,FALSE()))</f>
        <v/>
      </c>
      <c r="D165" s="8"/>
      <c r="E165" s="8"/>
      <c r="J165" s="8"/>
      <c r="K165" s="8"/>
    </row>
    <row r="166">
      <c r="A166" s="8"/>
      <c r="B166" s="177"/>
      <c r="C166" s="8" t="str">
        <f>IF(ISBLANK(A166),"",VLOOKUP(A166,DOI_URL!$B$1:$C$74,2,FALSE()))</f>
        <v/>
      </c>
      <c r="D166" s="8"/>
      <c r="E166" s="8"/>
      <c r="J166" s="8"/>
      <c r="K166" s="8"/>
    </row>
    <row r="167">
      <c r="A167" s="8"/>
      <c r="B167" s="177"/>
      <c r="C167" s="8" t="str">
        <f>IF(ISBLANK(A167),"",VLOOKUP(A167,DOI_URL!$B$1:$C$74,2,FALSE()))</f>
        <v/>
      </c>
      <c r="D167" s="8"/>
      <c r="E167" s="8"/>
      <c r="J167" s="8"/>
      <c r="K167" s="8"/>
    </row>
    <row r="168">
      <c r="A168" s="8"/>
      <c r="B168" s="177"/>
      <c r="C168" s="8" t="str">
        <f>IF(ISBLANK(A168),"",VLOOKUP(A168,DOI_URL!$B$1:$C$74,2,FALSE()))</f>
        <v/>
      </c>
      <c r="D168" s="8"/>
      <c r="E168" s="8"/>
      <c r="J168" s="8"/>
      <c r="K168" s="8"/>
    </row>
    <row r="169">
      <c r="A169" s="8"/>
      <c r="B169" s="177"/>
      <c r="C169" s="8" t="str">
        <f>IF(ISBLANK(A169),"",VLOOKUP(A169,DOI_URL!$B$1:$C$74,2,FALSE()))</f>
        <v/>
      </c>
      <c r="D169" s="8"/>
      <c r="E169" s="8"/>
      <c r="J169" s="8"/>
      <c r="K169" s="8"/>
    </row>
    <row r="170">
      <c r="A170" s="8"/>
      <c r="B170" s="177"/>
      <c r="C170" s="8" t="str">
        <f>IF(ISBLANK(A170),"",VLOOKUP(A170,DOI_URL!$B$1:$C$74,2,FALSE()))</f>
        <v/>
      </c>
      <c r="D170" s="8"/>
      <c r="E170" s="8"/>
      <c r="J170" s="8"/>
      <c r="K170" s="8"/>
    </row>
    <row r="171">
      <c r="A171" s="8"/>
      <c r="B171" s="177"/>
      <c r="C171" s="8" t="str">
        <f>IF(ISBLANK(A171),"",VLOOKUP(A171,DOI_URL!$B$1:$C$74,2,FALSE()))</f>
        <v/>
      </c>
      <c r="D171" s="8"/>
      <c r="E171" s="8"/>
      <c r="J171" s="8"/>
      <c r="K171" s="8"/>
    </row>
    <row r="172">
      <c r="A172" s="8"/>
      <c r="B172" s="177"/>
      <c r="C172" s="8" t="str">
        <f>IF(ISBLANK(A172),"",VLOOKUP(A172,DOI_URL!$B$1:$C$74,2,FALSE()))</f>
        <v/>
      </c>
      <c r="D172" s="8"/>
      <c r="E172" s="8"/>
      <c r="J172" s="8"/>
      <c r="K172" s="8"/>
    </row>
    <row r="173">
      <c r="A173" s="8"/>
      <c r="B173" s="177"/>
      <c r="C173" s="8" t="str">
        <f>IF(ISBLANK(A173),"",VLOOKUP(A173,DOI_URL!$B$1:$C$74,2,FALSE()))</f>
        <v/>
      </c>
      <c r="D173" s="8"/>
      <c r="E173" s="8"/>
      <c r="J173" s="8"/>
      <c r="K173" s="8"/>
    </row>
    <row r="174">
      <c r="A174" s="8"/>
      <c r="B174" s="177"/>
      <c r="C174" s="8" t="str">
        <f>IF(ISBLANK(A174),"",VLOOKUP(A174,DOI_URL!$B$1:$C$74,2,FALSE()))</f>
        <v/>
      </c>
      <c r="D174" s="8"/>
      <c r="E174" s="8"/>
      <c r="J174" s="8"/>
      <c r="K174" s="8"/>
    </row>
    <row r="175">
      <c r="A175" s="8"/>
      <c r="B175" s="177"/>
      <c r="C175" s="8" t="str">
        <f>IF(ISBLANK(A175),"",VLOOKUP(A175,DOI_URL!$B$1:$C$74,2,FALSE()))</f>
        <v/>
      </c>
      <c r="D175" s="8"/>
      <c r="E175" s="8"/>
      <c r="J175" s="8"/>
      <c r="K175" s="8"/>
    </row>
    <row r="176">
      <c r="A176" s="8"/>
      <c r="B176" s="177"/>
      <c r="C176" s="8" t="str">
        <f>IF(ISBLANK(A176),"",VLOOKUP(A176,DOI_URL!$B$1:$C$74,2,FALSE()))</f>
        <v/>
      </c>
      <c r="D176" s="8"/>
      <c r="E176" s="8"/>
      <c r="J176" s="8"/>
      <c r="K176" s="8"/>
    </row>
    <row r="177">
      <c r="A177" s="8"/>
      <c r="B177" s="177"/>
      <c r="C177" s="8" t="str">
        <f>IF(ISBLANK(A177),"",VLOOKUP(A177,DOI_URL!$B$1:$C$74,2,FALSE()))</f>
        <v/>
      </c>
      <c r="D177" s="8"/>
      <c r="E177" s="8"/>
      <c r="J177" s="8"/>
      <c r="K177" s="8"/>
    </row>
    <row r="178">
      <c r="A178" s="8"/>
      <c r="B178" s="177"/>
      <c r="C178" s="8" t="str">
        <f>IF(ISBLANK(A178),"",VLOOKUP(A178,DOI_URL!$B$1:$C$74,2,FALSE()))</f>
        <v/>
      </c>
      <c r="D178" s="8"/>
      <c r="E178" s="8"/>
      <c r="J178" s="8"/>
      <c r="K178" s="8"/>
    </row>
    <row r="179">
      <c r="A179" s="8"/>
      <c r="B179" s="177"/>
      <c r="C179" s="8" t="str">
        <f>IF(ISBLANK(A179),"",VLOOKUP(A179,DOI_URL!$B$1:$C$74,2,FALSE()))</f>
        <v/>
      </c>
      <c r="D179" s="8"/>
      <c r="E179" s="8"/>
      <c r="J179" s="8"/>
      <c r="K179" s="8"/>
    </row>
    <row r="180">
      <c r="A180" s="8"/>
      <c r="B180" s="177"/>
      <c r="C180" s="8" t="str">
        <f>IF(ISBLANK(A180),"",VLOOKUP(A180,DOI_URL!$B$1:$C$74,2,FALSE()))</f>
        <v/>
      </c>
      <c r="D180" s="8"/>
      <c r="E180" s="8"/>
      <c r="J180" s="8"/>
      <c r="K180" s="8"/>
    </row>
    <row r="181">
      <c r="A181" s="8"/>
      <c r="B181" s="177"/>
      <c r="C181" s="8" t="str">
        <f>IF(ISBLANK(A181),"",VLOOKUP(A181,DOI_URL!$B$1:$C$74,2,FALSE()))</f>
        <v/>
      </c>
      <c r="D181" s="8"/>
      <c r="E181" s="8"/>
      <c r="J181" s="8"/>
      <c r="K181" s="8"/>
    </row>
    <row r="182">
      <c r="A182" s="8"/>
      <c r="B182" s="177"/>
      <c r="C182" s="8" t="str">
        <f>IF(ISBLANK(A182),"",VLOOKUP(A182,DOI_URL!$B$1:$C$74,2,FALSE()))</f>
        <v/>
      </c>
      <c r="D182" s="8"/>
      <c r="E182" s="8"/>
      <c r="J182" s="8"/>
      <c r="K182" s="8"/>
    </row>
    <row r="183">
      <c r="A183" s="8"/>
      <c r="B183" s="177"/>
      <c r="C183" s="8" t="str">
        <f>IF(ISBLANK(A183),"",VLOOKUP(A183,DOI_URL!$B$1:$C$74,2,FALSE()))</f>
        <v/>
      </c>
      <c r="D183" s="8"/>
      <c r="E183" s="8"/>
      <c r="J183" s="8"/>
      <c r="K183" s="8"/>
    </row>
    <row r="184">
      <c r="A184" s="8"/>
      <c r="B184" s="177"/>
      <c r="C184" s="8" t="str">
        <f>IF(ISBLANK(A184),"",VLOOKUP(A184,DOI_URL!$B$1:$C$74,2,FALSE()))</f>
        <v/>
      </c>
      <c r="D184" s="8"/>
      <c r="E184" s="8"/>
      <c r="J184" s="8"/>
      <c r="K184" s="8"/>
    </row>
    <row r="185">
      <c r="A185" s="8"/>
      <c r="B185" s="177"/>
      <c r="C185" s="8" t="str">
        <f>IF(ISBLANK(A185),"",VLOOKUP(A185,DOI_URL!$B$1:$C$74,2,FALSE()))</f>
        <v/>
      </c>
      <c r="D185" s="8"/>
      <c r="E185" s="8"/>
      <c r="J185" s="8"/>
      <c r="K185" s="8"/>
    </row>
    <row r="186">
      <c r="A186" s="8"/>
      <c r="B186" s="177"/>
      <c r="C186" s="8" t="str">
        <f>IF(ISBLANK(A186),"",VLOOKUP(A186,DOI_URL!$B$1:$C$74,2,FALSE()))</f>
        <v/>
      </c>
      <c r="D186" s="8"/>
      <c r="E186" s="8"/>
      <c r="J186" s="8"/>
      <c r="K186" s="8"/>
    </row>
    <row r="187">
      <c r="A187" s="8"/>
      <c r="B187" s="177"/>
      <c r="C187" s="8" t="str">
        <f>IF(ISBLANK(A187),"",VLOOKUP(A187,DOI_URL!$B$1:$C$74,2,FALSE()))</f>
        <v/>
      </c>
      <c r="D187" s="8"/>
      <c r="E187" s="8"/>
      <c r="J187" s="8"/>
      <c r="K187" s="8"/>
    </row>
    <row r="188">
      <c r="A188" s="8"/>
      <c r="B188" s="177"/>
      <c r="C188" s="8" t="str">
        <f>IF(ISBLANK(A188),"",VLOOKUP(A188,DOI_URL!$B$1:$C$74,2,FALSE()))</f>
        <v/>
      </c>
      <c r="D188" s="8"/>
      <c r="E188" s="8"/>
      <c r="J188" s="8"/>
      <c r="K188" s="8"/>
    </row>
    <row r="189">
      <c r="A189" s="8"/>
      <c r="B189" s="177"/>
      <c r="C189" s="8" t="str">
        <f>IF(ISBLANK(A189),"",VLOOKUP(A189,DOI_URL!$B$1:$C$74,2,FALSE()))</f>
        <v/>
      </c>
      <c r="D189" s="8"/>
      <c r="E189" s="8"/>
      <c r="J189" s="8"/>
      <c r="K189" s="8"/>
    </row>
    <row r="190">
      <c r="A190" s="8"/>
      <c r="B190" s="177"/>
      <c r="C190" s="8" t="str">
        <f>IF(ISBLANK(A190),"",VLOOKUP(A190,DOI_URL!$B$1:$C$74,2,FALSE()))</f>
        <v/>
      </c>
      <c r="D190" s="8"/>
      <c r="E190" s="8"/>
      <c r="J190" s="8"/>
      <c r="K190" s="8"/>
    </row>
    <row r="191">
      <c r="A191" s="8"/>
      <c r="B191" s="177"/>
      <c r="C191" s="8" t="str">
        <f>IF(ISBLANK(A191),"",VLOOKUP(A191,DOI_URL!$B$1:$C$74,2,FALSE()))</f>
        <v/>
      </c>
      <c r="D191" s="8"/>
      <c r="E191" s="8"/>
      <c r="J191" s="8"/>
      <c r="K191" s="8"/>
    </row>
    <row r="192">
      <c r="A192" s="8"/>
      <c r="B192" s="177"/>
      <c r="C192" s="8" t="str">
        <f>IF(ISBLANK(A192),"",VLOOKUP(A192,DOI_URL!$B$1:$C$74,2,FALSE()))</f>
        <v/>
      </c>
      <c r="D192" s="8"/>
      <c r="E192" s="8"/>
      <c r="J192" s="8"/>
      <c r="K192" s="8"/>
    </row>
    <row r="193">
      <c r="A193" s="8"/>
      <c r="B193" s="177"/>
      <c r="C193" s="8" t="str">
        <f>IF(ISBLANK(A193),"",VLOOKUP(A193,DOI_URL!$B$1:$C$74,2,FALSE()))</f>
        <v/>
      </c>
      <c r="D193" s="8"/>
      <c r="E193" s="8"/>
      <c r="J193" s="8"/>
      <c r="K193" s="8"/>
    </row>
    <row r="194">
      <c r="A194" s="8"/>
      <c r="B194" s="177"/>
      <c r="C194" s="8" t="str">
        <f>IF(ISBLANK(A194),"",VLOOKUP(A194,DOI_URL!$B$1:$C$74,2,FALSE()))</f>
        <v/>
      </c>
      <c r="D194" s="8"/>
      <c r="E194" s="8"/>
      <c r="J194" s="8"/>
      <c r="K194" s="8"/>
    </row>
    <row r="195">
      <c r="A195" s="8"/>
      <c r="B195" s="177"/>
      <c r="C195" s="8" t="str">
        <f>IF(ISBLANK(A195),"",VLOOKUP(A195,DOI_URL!$B$1:$C$74,2,FALSE()))</f>
        <v/>
      </c>
      <c r="D195" s="8"/>
      <c r="E195" s="8"/>
      <c r="J195" s="8"/>
      <c r="K195" s="8"/>
    </row>
    <row r="196">
      <c r="A196" s="8"/>
      <c r="B196" s="177"/>
      <c r="C196" s="8" t="str">
        <f>IF(ISBLANK(A196),"",VLOOKUP(A196,DOI_URL!$B$1:$C$74,2,FALSE()))</f>
        <v/>
      </c>
      <c r="D196" s="8"/>
      <c r="E196" s="8"/>
      <c r="J196" s="8"/>
      <c r="K196" s="8"/>
    </row>
    <row r="197">
      <c r="A197" s="8"/>
      <c r="B197" s="177"/>
      <c r="C197" s="8" t="str">
        <f>IF(ISBLANK(A197),"",VLOOKUP(A197,DOI_URL!$B$1:$C$74,2,FALSE()))</f>
        <v/>
      </c>
      <c r="D197" s="8"/>
      <c r="E197" s="8"/>
      <c r="J197" s="8"/>
      <c r="K197" s="8"/>
    </row>
    <row r="198">
      <c r="A198" s="8"/>
      <c r="B198" s="177"/>
      <c r="C198" s="8" t="str">
        <f>IF(ISBLANK(A198),"",VLOOKUP(A198,DOI_URL!$B$1:$C$74,2,FALSE()))</f>
        <v/>
      </c>
      <c r="D198" s="8"/>
      <c r="E198" s="8"/>
      <c r="J198" s="8"/>
      <c r="K198" s="8"/>
    </row>
    <row r="199">
      <c r="A199" s="8"/>
      <c r="B199" s="177"/>
      <c r="C199" s="8" t="str">
        <f>IF(ISBLANK(A199),"",VLOOKUP(A199,DOI_URL!$B$1:$C$74,2,FALSE()))</f>
        <v/>
      </c>
      <c r="D199" s="8"/>
      <c r="E199" s="8"/>
      <c r="J199" s="8"/>
      <c r="K199" s="8"/>
    </row>
    <row r="200">
      <c r="A200" s="8"/>
      <c r="B200" s="177"/>
      <c r="C200" s="8" t="str">
        <f>IF(ISBLANK(A200),"",VLOOKUP(A200,DOI_URL!$B$1:$C$74,2,FALSE()))</f>
        <v/>
      </c>
      <c r="D200" s="8"/>
      <c r="E200" s="8"/>
      <c r="J200" s="8"/>
      <c r="K200" s="8"/>
    </row>
    <row r="201">
      <c r="A201" s="8"/>
      <c r="B201" s="177"/>
      <c r="C201" s="8" t="str">
        <f>IF(ISBLANK(A201),"",VLOOKUP(A201,DOI_URL!$B$1:$C$74,2,FALSE()))</f>
        <v/>
      </c>
      <c r="D201" s="8"/>
      <c r="E201" s="8"/>
      <c r="J201" s="8"/>
      <c r="K201" s="8"/>
    </row>
    <row r="202">
      <c r="A202" s="8"/>
      <c r="B202" s="177"/>
      <c r="C202" s="8" t="str">
        <f>IF(ISBLANK(A202),"",VLOOKUP(A202,DOI_URL!$B$1:$C$74,2,FALSE()))</f>
        <v/>
      </c>
      <c r="D202" s="8"/>
      <c r="E202" s="8"/>
      <c r="J202" s="8"/>
      <c r="K202" s="8"/>
    </row>
    <row r="203">
      <c r="A203" s="8"/>
      <c r="B203" s="177"/>
      <c r="C203" s="8" t="str">
        <f>IF(ISBLANK(A203),"",VLOOKUP(A203,DOI_URL!$B$1:$C$74,2,FALSE()))</f>
        <v/>
      </c>
      <c r="D203" s="8"/>
      <c r="E203" s="8"/>
      <c r="J203" s="8"/>
      <c r="K203" s="8"/>
    </row>
    <row r="204">
      <c r="A204" s="8"/>
      <c r="B204" s="177"/>
      <c r="C204" s="8" t="str">
        <f>IF(ISBLANK(A204),"",VLOOKUP(A204,DOI_URL!$B$1:$C$74,2,FALSE()))</f>
        <v/>
      </c>
      <c r="D204" s="8"/>
      <c r="E204" s="8"/>
      <c r="J204" s="8"/>
      <c r="K204" s="8"/>
    </row>
    <row r="205">
      <c r="A205" s="8"/>
      <c r="B205" s="177"/>
      <c r="C205" s="8" t="str">
        <f>IF(ISBLANK(A205),"",VLOOKUP(A205,DOI_URL!$B$1:$C$74,2,FALSE()))</f>
        <v/>
      </c>
      <c r="D205" s="8"/>
      <c r="E205" s="8"/>
      <c r="J205" s="8"/>
      <c r="K205" s="8"/>
    </row>
    <row r="206">
      <c r="A206" s="8"/>
      <c r="B206" s="177"/>
      <c r="C206" s="8" t="str">
        <f>IF(ISBLANK(A206),"",VLOOKUP(A206,DOI_URL!$B$1:$C$74,2,FALSE()))</f>
        <v/>
      </c>
      <c r="D206" s="8"/>
      <c r="E206" s="8"/>
      <c r="J206" s="8"/>
      <c r="K206" s="8"/>
    </row>
    <row r="207">
      <c r="A207" s="8"/>
      <c r="B207" s="177"/>
      <c r="C207" s="8" t="str">
        <f>IF(ISBLANK(A207),"",VLOOKUP(A207,DOI_URL!$B$1:$C$74,2,FALSE()))</f>
        <v/>
      </c>
      <c r="D207" s="8"/>
      <c r="E207" s="8"/>
      <c r="J207" s="8"/>
      <c r="K207" s="8"/>
    </row>
    <row r="208">
      <c r="A208" s="8"/>
      <c r="B208" s="177"/>
      <c r="C208" s="8" t="str">
        <f>IF(ISBLANK(A208),"",VLOOKUP(A208,DOI_URL!$B$1:$C$74,2,FALSE()))</f>
        <v/>
      </c>
      <c r="D208" s="8"/>
      <c r="E208" s="8"/>
      <c r="J208" s="8"/>
      <c r="K208" s="8"/>
    </row>
    <row r="209">
      <c r="A209" s="8"/>
      <c r="B209" s="177"/>
      <c r="C209" s="8" t="str">
        <f>IF(ISBLANK(A209),"",VLOOKUP(A209,DOI_URL!$B$1:$C$74,2,FALSE()))</f>
        <v/>
      </c>
      <c r="D209" s="8"/>
      <c r="E209" s="8"/>
      <c r="J209" s="8"/>
      <c r="K209" s="8"/>
    </row>
    <row r="210">
      <c r="A210" s="8"/>
      <c r="B210" s="177"/>
      <c r="C210" s="8" t="str">
        <f>IF(ISBLANK(A210),"",VLOOKUP(A210,DOI_URL!$B$1:$C$74,2,FALSE()))</f>
        <v/>
      </c>
      <c r="D210" s="8"/>
      <c r="E210" s="8"/>
      <c r="J210" s="8"/>
      <c r="K210" s="8"/>
    </row>
    <row r="211">
      <c r="A211" s="8"/>
      <c r="B211" s="177"/>
      <c r="C211" s="8" t="str">
        <f>IF(ISBLANK(A211),"",VLOOKUP(A211,DOI_URL!$B$1:$C$74,2,FALSE()))</f>
        <v/>
      </c>
      <c r="D211" s="8"/>
      <c r="E211" s="8"/>
      <c r="J211" s="8"/>
      <c r="K211" s="8"/>
    </row>
    <row r="212">
      <c r="A212" s="8"/>
      <c r="B212" s="177"/>
      <c r="C212" s="8" t="str">
        <f>IF(ISBLANK(A212),"",VLOOKUP(A212,DOI_URL!$B$1:$C$74,2,FALSE()))</f>
        <v/>
      </c>
      <c r="D212" s="8"/>
      <c r="E212" s="8"/>
      <c r="J212" s="8"/>
      <c r="K212" s="8"/>
    </row>
    <row r="213">
      <c r="A213" s="8"/>
      <c r="B213" s="177"/>
      <c r="C213" s="8" t="str">
        <f>IF(ISBLANK(A213),"",VLOOKUP(A213,DOI_URL!$B$1:$C$74,2,FALSE()))</f>
        <v/>
      </c>
      <c r="D213" s="8"/>
      <c r="E213" s="8"/>
      <c r="J213" s="8"/>
      <c r="K213" s="8"/>
    </row>
    <row r="214">
      <c r="A214" s="8"/>
      <c r="B214" s="177"/>
      <c r="C214" s="8" t="str">
        <f>IF(ISBLANK(A214),"",VLOOKUP(A214,DOI_URL!$B$1:$C$74,2,FALSE()))</f>
        <v/>
      </c>
      <c r="D214" s="8"/>
      <c r="E214" s="8"/>
      <c r="J214" s="8"/>
      <c r="K214" s="8"/>
    </row>
    <row r="215">
      <c r="A215" s="8"/>
      <c r="B215" s="177"/>
      <c r="C215" s="8" t="str">
        <f>IF(ISBLANK(A215),"",VLOOKUP(A215,DOI_URL!$B$1:$C$74,2,FALSE()))</f>
        <v/>
      </c>
      <c r="D215" s="8"/>
      <c r="E215" s="8"/>
      <c r="J215" s="8"/>
      <c r="K215" s="8"/>
    </row>
    <row r="216">
      <c r="A216" s="8"/>
      <c r="B216" s="177"/>
      <c r="C216" s="8" t="str">
        <f>IF(ISBLANK(A216),"",VLOOKUP(A216,DOI_URL!$B$1:$C$74,2,FALSE()))</f>
        <v/>
      </c>
      <c r="D216" s="8"/>
      <c r="E216" s="8"/>
      <c r="J216" s="8"/>
      <c r="K216" s="8"/>
    </row>
    <row r="217">
      <c r="A217" s="8"/>
      <c r="B217" s="177"/>
      <c r="C217" s="8" t="str">
        <f>IF(ISBLANK(A217),"",VLOOKUP(A217,DOI_URL!$B$1:$C$74,2,FALSE()))</f>
        <v/>
      </c>
      <c r="D217" s="8"/>
      <c r="E217" s="8"/>
      <c r="J217" s="8"/>
      <c r="K217" s="8"/>
    </row>
    <row r="218">
      <c r="A218" s="8"/>
      <c r="B218" s="177"/>
      <c r="C218" s="8" t="str">
        <f>IF(ISBLANK(A218),"",VLOOKUP(A218,DOI_URL!$B$1:$C$74,2,FALSE()))</f>
        <v/>
      </c>
      <c r="D218" s="8"/>
      <c r="E218" s="8"/>
      <c r="J218" s="8"/>
      <c r="K218" s="8"/>
    </row>
    <row r="219">
      <c r="A219" s="8"/>
      <c r="B219" s="177"/>
      <c r="C219" s="8" t="str">
        <f>IF(ISBLANK(A219),"",VLOOKUP(A219,DOI_URL!$B$1:$C$74,2,FALSE()))</f>
        <v/>
      </c>
      <c r="D219" s="8"/>
      <c r="E219" s="8"/>
      <c r="J219" s="8"/>
      <c r="K219" s="8"/>
    </row>
    <row r="220">
      <c r="A220" s="8"/>
      <c r="B220" s="177"/>
      <c r="C220" s="8" t="str">
        <f>IF(ISBLANK(A220),"",VLOOKUP(A220,DOI_URL!$B$1:$C$74,2,FALSE()))</f>
        <v/>
      </c>
      <c r="D220" s="8"/>
      <c r="E220" s="8"/>
      <c r="J220" s="8"/>
      <c r="K220" s="8"/>
    </row>
    <row r="221">
      <c r="A221" s="8"/>
      <c r="B221" s="177"/>
      <c r="C221" s="8" t="str">
        <f>IF(ISBLANK(A221),"",VLOOKUP(A221,DOI_URL!$B$1:$C$74,2,FALSE()))</f>
        <v/>
      </c>
      <c r="D221" s="8"/>
      <c r="E221" s="8"/>
      <c r="J221" s="8"/>
      <c r="K221" s="8"/>
    </row>
    <row r="222">
      <c r="A222" s="8"/>
      <c r="B222" s="177"/>
      <c r="C222" s="8" t="str">
        <f>IF(ISBLANK(A222),"",VLOOKUP(A222,DOI_URL!$B$1:$C$74,2,FALSE()))</f>
        <v/>
      </c>
      <c r="D222" s="8"/>
      <c r="E222" s="8"/>
      <c r="J222" s="8"/>
      <c r="K222" s="8"/>
    </row>
    <row r="223">
      <c r="A223" s="8"/>
      <c r="B223" s="177"/>
      <c r="C223" s="8" t="str">
        <f>IF(ISBLANK(A223),"",VLOOKUP(A223,DOI_URL!$B$1:$C$74,2,FALSE()))</f>
        <v/>
      </c>
      <c r="D223" s="8"/>
      <c r="E223" s="8"/>
      <c r="J223" s="8"/>
      <c r="K223" s="8"/>
    </row>
    <row r="224">
      <c r="A224" s="8"/>
      <c r="B224" s="177"/>
      <c r="C224" s="8" t="str">
        <f>IF(ISBLANK(A224),"",VLOOKUP(A224,DOI_URL!$B$1:$C$74,2,FALSE()))</f>
        <v/>
      </c>
      <c r="D224" s="8"/>
      <c r="E224" s="8"/>
      <c r="J224" s="8"/>
      <c r="K224" s="8"/>
    </row>
    <row r="225">
      <c r="A225" s="8"/>
      <c r="B225" s="177"/>
      <c r="C225" s="8" t="str">
        <f>IF(ISBLANK(A225),"",VLOOKUP(A225,DOI_URL!$B$1:$C$74,2,FALSE()))</f>
        <v/>
      </c>
      <c r="D225" s="8"/>
      <c r="E225" s="8"/>
      <c r="J225" s="8"/>
      <c r="K225" s="8"/>
    </row>
    <row r="226">
      <c r="A226" s="8"/>
      <c r="B226" s="177"/>
      <c r="C226" s="8" t="str">
        <f>IF(ISBLANK(A226),"",VLOOKUP(A226,DOI_URL!$B$1:$C$74,2,FALSE()))</f>
        <v/>
      </c>
      <c r="D226" s="8"/>
      <c r="E226" s="8"/>
      <c r="J226" s="8"/>
      <c r="K226" s="8"/>
    </row>
    <row r="227">
      <c r="A227" s="8"/>
      <c r="B227" s="177"/>
      <c r="C227" s="8" t="str">
        <f>IF(ISBLANK(A227),"",VLOOKUP(A227,DOI_URL!$B$1:$C$74,2,FALSE()))</f>
        <v/>
      </c>
      <c r="D227" s="8"/>
      <c r="E227" s="8"/>
      <c r="J227" s="8"/>
      <c r="K227" s="8"/>
    </row>
    <row r="228">
      <c r="A228" s="8"/>
      <c r="B228" s="177"/>
      <c r="C228" s="8" t="str">
        <f>IF(ISBLANK(A228),"",VLOOKUP(A228,DOI_URL!$B$1:$C$74,2,FALSE()))</f>
        <v/>
      </c>
      <c r="D228" s="8"/>
      <c r="E228" s="8"/>
      <c r="J228" s="8"/>
      <c r="K228" s="8"/>
    </row>
    <row r="229">
      <c r="A229" s="8"/>
      <c r="B229" s="177"/>
      <c r="C229" s="8" t="str">
        <f>IF(ISBLANK(A229),"",VLOOKUP(A229,DOI_URL!$B$1:$C$74,2,FALSE()))</f>
        <v/>
      </c>
      <c r="D229" s="8"/>
      <c r="E229" s="8"/>
      <c r="J229" s="8"/>
      <c r="K229" s="8"/>
    </row>
    <row r="230">
      <c r="A230" s="8"/>
      <c r="B230" s="177"/>
      <c r="C230" s="8" t="str">
        <f>IF(ISBLANK(A230),"",VLOOKUP(A230,DOI_URL!$B$1:$C$74,2,FALSE()))</f>
        <v/>
      </c>
      <c r="D230" s="8"/>
      <c r="E230" s="8"/>
      <c r="J230" s="8"/>
      <c r="K230" s="8"/>
    </row>
    <row r="231">
      <c r="A231" s="8"/>
      <c r="B231" s="177"/>
      <c r="C231" s="8" t="str">
        <f>IF(ISBLANK(A231),"",VLOOKUP(A231,DOI_URL!$B$1:$C$74,2,FALSE()))</f>
        <v/>
      </c>
      <c r="D231" s="8"/>
      <c r="E231" s="8"/>
      <c r="J231" s="8"/>
      <c r="K231" s="8"/>
    </row>
    <row r="232">
      <c r="A232" s="8"/>
      <c r="B232" s="177"/>
      <c r="C232" s="8" t="str">
        <f>IF(ISBLANK(A232),"",VLOOKUP(A232,DOI_URL!$B$1:$C$74,2,FALSE()))</f>
        <v/>
      </c>
      <c r="D232" s="8"/>
      <c r="E232" s="8"/>
      <c r="J232" s="8"/>
      <c r="K232" s="8"/>
    </row>
    <row r="233">
      <c r="A233" s="8"/>
      <c r="B233" s="177"/>
      <c r="C233" s="8" t="str">
        <f>IF(ISBLANK(A233),"",VLOOKUP(A233,DOI_URL!$B$1:$C$74,2,FALSE()))</f>
        <v/>
      </c>
      <c r="D233" s="8"/>
      <c r="E233" s="8"/>
      <c r="J233" s="8"/>
      <c r="K233" s="8"/>
    </row>
    <row r="234">
      <c r="A234" s="8"/>
      <c r="B234" s="177"/>
      <c r="C234" s="8" t="str">
        <f>IF(ISBLANK(A234),"",VLOOKUP(A234,DOI_URL!$B$1:$C$74,2,FALSE()))</f>
        <v/>
      </c>
      <c r="D234" s="8"/>
      <c r="E234" s="8"/>
      <c r="J234" s="8"/>
      <c r="K234" s="8"/>
    </row>
    <row r="235">
      <c r="A235" s="8"/>
      <c r="B235" s="177"/>
      <c r="C235" s="8" t="str">
        <f>IF(ISBLANK(A235),"",VLOOKUP(A235,DOI_URL!$B$1:$C$74,2,FALSE()))</f>
        <v/>
      </c>
      <c r="D235" s="8"/>
      <c r="E235" s="8"/>
      <c r="J235" s="8"/>
      <c r="K235" s="8"/>
    </row>
    <row r="236">
      <c r="A236" s="8"/>
      <c r="B236" s="177"/>
      <c r="C236" s="8" t="str">
        <f>IF(ISBLANK(A236),"",VLOOKUP(A236,DOI_URL!$B$1:$C$74,2,FALSE()))</f>
        <v/>
      </c>
      <c r="D236" s="8"/>
      <c r="E236" s="8"/>
      <c r="J236" s="8"/>
      <c r="K236" s="8"/>
    </row>
    <row r="237">
      <c r="A237" s="8"/>
      <c r="B237" s="177"/>
      <c r="C237" s="8" t="str">
        <f>IF(ISBLANK(A237),"",VLOOKUP(A237,DOI_URL!$B$1:$C$74,2,FALSE()))</f>
        <v/>
      </c>
      <c r="D237" s="8"/>
      <c r="E237" s="8"/>
      <c r="J237" s="8"/>
      <c r="K237" s="8"/>
    </row>
    <row r="238">
      <c r="A238" s="8"/>
      <c r="B238" s="177"/>
      <c r="C238" s="8" t="str">
        <f>IF(ISBLANK(A238),"",VLOOKUP(A238,DOI_URL!$B$1:$C$74,2,FALSE()))</f>
        <v/>
      </c>
      <c r="D238" s="8"/>
      <c r="E238" s="8"/>
      <c r="J238" s="8"/>
      <c r="K238" s="8"/>
    </row>
    <row r="239">
      <c r="A239" s="8"/>
      <c r="B239" s="177"/>
      <c r="C239" s="8" t="str">
        <f>IF(ISBLANK(A239),"",VLOOKUP(A239,DOI_URL!$B$1:$C$74,2,FALSE()))</f>
        <v/>
      </c>
      <c r="D239" s="8"/>
      <c r="E239" s="8"/>
      <c r="J239" s="8"/>
      <c r="K239" s="8"/>
    </row>
    <row r="240">
      <c r="A240" s="8"/>
      <c r="B240" s="177"/>
      <c r="C240" s="8" t="str">
        <f>IF(ISBLANK(A240),"",VLOOKUP(A240,DOI_URL!$B$1:$C$74,2,FALSE()))</f>
        <v/>
      </c>
      <c r="D240" s="8"/>
      <c r="E240" s="8"/>
      <c r="J240" s="8"/>
      <c r="K240" s="8"/>
    </row>
    <row r="241">
      <c r="A241" s="8"/>
      <c r="B241" s="177"/>
      <c r="C241" s="8" t="str">
        <f>IF(ISBLANK(A241),"",VLOOKUP(A241,DOI_URL!$B$1:$C$74,2,FALSE()))</f>
        <v/>
      </c>
      <c r="D241" s="8"/>
      <c r="E241" s="8"/>
      <c r="J241" s="8"/>
      <c r="K241" s="8"/>
    </row>
    <row r="242">
      <c r="A242" s="8"/>
      <c r="B242" s="177"/>
      <c r="C242" s="8" t="str">
        <f>IF(ISBLANK(A242),"",VLOOKUP(A242,DOI_URL!$B$1:$C$74,2,FALSE()))</f>
        <v/>
      </c>
      <c r="D242" s="8"/>
      <c r="E242" s="8"/>
      <c r="J242" s="8"/>
      <c r="K242" s="8"/>
    </row>
    <row r="243">
      <c r="A243" s="8"/>
      <c r="B243" s="177"/>
      <c r="C243" s="8" t="str">
        <f>IF(ISBLANK(A243),"",VLOOKUP(A243,DOI_URL!$B$1:$C$74,2,FALSE()))</f>
        <v/>
      </c>
      <c r="D243" s="8"/>
      <c r="E243" s="8"/>
      <c r="J243" s="8"/>
      <c r="K243" s="8"/>
    </row>
    <row r="244">
      <c r="A244" s="8"/>
      <c r="B244" s="177"/>
      <c r="C244" s="8" t="str">
        <f>IF(ISBLANK(A244),"",VLOOKUP(A244,DOI_URL!$B$1:$C$74,2,FALSE()))</f>
        <v/>
      </c>
      <c r="D244" s="8"/>
      <c r="E244" s="8"/>
      <c r="J244" s="8"/>
      <c r="K244" s="8"/>
    </row>
    <row r="245">
      <c r="A245" s="8"/>
      <c r="B245" s="177"/>
      <c r="C245" s="8" t="str">
        <f>IF(ISBLANK(A245),"",VLOOKUP(A245,DOI_URL!$B$1:$C$74,2,FALSE()))</f>
        <v/>
      </c>
      <c r="D245" s="8"/>
      <c r="E245" s="8"/>
      <c r="J245" s="8"/>
      <c r="K245" s="8"/>
    </row>
    <row r="246">
      <c r="A246" s="8"/>
      <c r="B246" s="177"/>
      <c r="C246" s="8" t="str">
        <f>IF(ISBLANK(A246),"",VLOOKUP(A246,DOI_URL!$B$1:$C$74,2,FALSE()))</f>
        <v/>
      </c>
      <c r="D246" s="8"/>
      <c r="E246" s="8"/>
      <c r="J246" s="8"/>
      <c r="K246" s="8"/>
    </row>
    <row r="247">
      <c r="A247" s="8"/>
      <c r="B247" s="177"/>
      <c r="C247" s="8" t="str">
        <f>IF(ISBLANK(A247),"",VLOOKUP(A247,DOI_URL!$B$1:$C$74,2,FALSE()))</f>
        <v/>
      </c>
      <c r="D247" s="8"/>
      <c r="E247" s="8"/>
      <c r="J247" s="8"/>
      <c r="K247" s="8"/>
    </row>
    <row r="248">
      <c r="A248" s="8"/>
      <c r="B248" s="177"/>
      <c r="C248" s="8" t="str">
        <f>IF(ISBLANK(A248),"",VLOOKUP(A248,DOI_URL!$B$1:$C$74,2,FALSE()))</f>
        <v/>
      </c>
      <c r="D248" s="8"/>
      <c r="E248" s="8"/>
      <c r="J248" s="8"/>
      <c r="K248" s="8"/>
    </row>
    <row r="249">
      <c r="A249" s="8"/>
      <c r="B249" s="177"/>
      <c r="C249" s="8" t="str">
        <f>IF(ISBLANK(A249),"",VLOOKUP(A249,DOI_URL!$B$1:$C$74,2,FALSE()))</f>
        <v/>
      </c>
      <c r="D249" s="8"/>
      <c r="E249" s="8"/>
      <c r="J249" s="8"/>
      <c r="K249" s="8"/>
    </row>
    <row r="250">
      <c r="A250" s="8"/>
      <c r="B250" s="177"/>
      <c r="C250" s="8" t="str">
        <f>IF(ISBLANK(A250),"",VLOOKUP(A250,DOI_URL!$B$1:$C$74,2,FALSE()))</f>
        <v/>
      </c>
      <c r="D250" s="8"/>
      <c r="E250" s="8"/>
      <c r="J250" s="8"/>
      <c r="K250" s="8"/>
    </row>
    <row r="251">
      <c r="A251" s="8"/>
      <c r="B251" s="177"/>
      <c r="C251" s="8" t="str">
        <f>IF(ISBLANK(A251),"",VLOOKUP(A251,DOI_URL!$B$1:$C$74,2,FALSE()))</f>
        <v/>
      </c>
      <c r="D251" s="8"/>
      <c r="E251" s="8"/>
      <c r="J251" s="8"/>
      <c r="K251" s="8"/>
    </row>
    <row r="252">
      <c r="A252" s="8"/>
      <c r="B252" s="177"/>
      <c r="C252" s="8" t="str">
        <f>IF(ISBLANK(A252),"",VLOOKUP(A252,DOI_URL!$B$1:$C$74,2,FALSE()))</f>
        <v/>
      </c>
      <c r="D252" s="8"/>
      <c r="E252" s="8"/>
      <c r="J252" s="8"/>
      <c r="K252" s="8"/>
    </row>
    <row r="253">
      <c r="A253" s="8"/>
      <c r="B253" s="177"/>
      <c r="C253" s="8" t="str">
        <f>IF(ISBLANK(A253),"",VLOOKUP(A253,DOI_URL!$B$1:$C$74,2,FALSE()))</f>
        <v/>
      </c>
      <c r="D253" s="8"/>
      <c r="E253" s="8"/>
      <c r="J253" s="8"/>
      <c r="K253" s="8"/>
    </row>
    <row r="254">
      <c r="A254" s="8"/>
      <c r="B254" s="177"/>
      <c r="C254" s="8" t="str">
        <f>IF(ISBLANK(A254),"",VLOOKUP(A254,DOI_URL!$B$1:$C$74,2,FALSE()))</f>
        <v/>
      </c>
      <c r="D254" s="8"/>
      <c r="E254" s="8"/>
      <c r="J254" s="8"/>
      <c r="K254" s="8"/>
    </row>
    <row r="255">
      <c r="A255" s="8"/>
      <c r="B255" s="177"/>
      <c r="C255" s="8" t="str">
        <f>IF(ISBLANK(A255),"",VLOOKUP(A255,DOI_URL!$B$1:$C$74,2,FALSE()))</f>
        <v/>
      </c>
      <c r="D255" s="8"/>
      <c r="E255" s="8"/>
      <c r="J255" s="8"/>
      <c r="K255" s="8"/>
    </row>
    <row r="256">
      <c r="A256" s="8"/>
      <c r="B256" s="177"/>
      <c r="C256" s="8" t="str">
        <f>IF(ISBLANK(A256),"",VLOOKUP(A256,DOI_URL!$B$1:$C$74,2,FALSE()))</f>
        <v/>
      </c>
      <c r="D256" s="8"/>
      <c r="E256" s="8"/>
      <c r="J256" s="8"/>
      <c r="K256" s="8"/>
    </row>
    <row r="257">
      <c r="A257" s="8"/>
      <c r="B257" s="177"/>
      <c r="C257" s="8" t="str">
        <f>IF(ISBLANK(A257),"",VLOOKUP(A257,DOI_URL!$B$1:$C$74,2,FALSE()))</f>
        <v/>
      </c>
      <c r="D257" s="8"/>
      <c r="E257" s="8"/>
      <c r="J257" s="8"/>
      <c r="K257" s="8"/>
    </row>
    <row r="258">
      <c r="A258" s="8"/>
      <c r="B258" s="177"/>
      <c r="C258" s="8" t="str">
        <f>IF(ISBLANK(A258),"",VLOOKUP(A258,DOI_URL!$B$1:$C$74,2,FALSE()))</f>
        <v/>
      </c>
      <c r="D258" s="8"/>
      <c r="E258" s="8"/>
      <c r="J258" s="8"/>
      <c r="K258" s="8"/>
    </row>
    <row r="259">
      <c r="A259" s="8"/>
      <c r="B259" s="177"/>
      <c r="C259" s="8" t="str">
        <f>IF(ISBLANK(A259),"",VLOOKUP(A259,DOI_URL!$B$1:$C$74,2,FALSE()))</f>
        <v/>
      </c>
      <c r="D259" s="8"/>
      <c r="E259" s="8"/>
      <c r="J259" s="8"/>
      <c r="K259" s="8"/>
    </row>
    <row r="260">
      <c r="A260" s="8"/>
      <c r="B260" s="177"/>
      <c r="C260" s="8" t="str">
        <f>IF(ISBLANK(A260),"",VLOOKUP(A260,DOI_URL!$B$1:$C$74,2,FALSE()))</f>
        <v/>
      </c>
      <c r="D260" s="8"/>
      <c r="E260" s="8"/>
      <c r="J260" s="8"/>
      <c r="K260" s="8"/>
    </row>
    <row r="261">
      <c r="A261" s="8"/>
      <c r="B261" s="177"/>
      <c r="C261" s="8" t="str">
        <f>IF(ISBLANK(A261),"",VLOOKUP(A261,DOI_URL!$B$1:$C$74,2,FALSE()))</f>
        <v/>
      </c>
      <c r="D261" s="8"/>
      <c r="E261" s="8"/>
      <c r="J261" s="8"/>
      <c r="K261" s="8"/>
    </row>
    <row r="262">
      <c r="A262" s="8"/>
      <c r="B262" s="177"/>
      <c r="C262" s="8" t="str">
        <f>IF(ISBLANK(A262),"",VLOOKUP(A262,DOI_URL!$B$1:$C$74,2,FALSE()))</f>
        <v/>
      </c>
      <c r="D262" s="8"/>
      <c r="E262" s="8"/>
      <c r="J262" s="8"/>
      <c r="K262" s="8"/>
    </row>
    <row r="263">
      <c r="A263" s="8"/>
      <c r="B263" s="177"/>
      <c r="C263" s="8" t="str">
        <f>IF(ISBLANK(A263),"",VLOOKUP(A263,DOI_URL!$B$1:$C$74,2,FALSE()))</f>
        <v/>
      </c>
      <c r="D263" s="8"/>
      <c r="E263" s="8"/>
      <c r="J263" s="8"/>
      <c r="K263" s="8"/>
    </row>
    <row r="264">
      <c r="A264" s="8"/>
      <c r="B264" s="177"/>
      <c r="C264" s="8" t="str">
        <f>IF(ISBLANK(A264),"",VLOOKUP(A264,DOI_URL!$B$1:$C$74,2,FALSE()))</f>
        <v/>
      </c>
      <c r="D264" s="8"/>
      <c r="E264" s="8"/>
      <c r="J264" s="8"/>
      <c r="K264" s="8"/>
    </row>
    <row r="265">
      <c r="A265" s="8"/>
      <c r="B265" s="177"/>
      <c r="C265" s="8" t="str">
        <f>IF(ISBLANK(A265),"",VLOOKUP(A265,DOI_URL!$B$1:$C$74,2,FALSE()))</f>
        <v/>
      </c>
      <c r="D265" s="8"/>
      <c r="E265" s="8"/>
      <c r="J265" s="8"/>
      <c r="K265" s="8"/>
    </row>
    <row r="266">
      <c r="A266" s="8"/>
      <c r="B266" s="177"/>
      <c r="C266" s="8" t="str">
        <f>IF(ISBLANK(A266),"",VLOOKUP(A266,DOI_URL!$B$1:$C$74,2,FALSE()))</f>
        <v/>
      </c>
      <c r="D266" s="8"/>
      <c r="E266" s="8"/>
      <c r="J266" s="8"/>
      <c r="K266" s="8"/>
    </row>
    <row r="267">
      <c r="A267" s="8"/>
      <c r="B267" s="177"/>
      <c r="C267" s="8" t="str">
        <f>IF(ISBLANK(A267),"",VLOOKUP(A267,DOI_URL!$B$1:$C$74,2,FALSE()))</f>
        <v/>
      </c>
      <c r="D267" s="8"/>
      <c r="E267" s="8"/>
      <c r="J267" s="8"/>
      <c r="K267" s="8"/>
    </row>
    <row r="268">
      <c r="A268" s="8"/>
      <c r="B268" s="177"/>
      <c r="C268" s="8" t="str">
        <f>IF(ISBLANK(A268),"",VLOOKUP(A268,DOI_URL!$B$1:$C$74,2,FALSE()))</f>
        <v/>
      </c>
      <c r="D268" s="8"/>
      <c r="E268" s="8"/>
      <c r="J268" s="8"/>
      <c r="K268" s="8"/>
    </row>
    <row r="269">
      <c r="A269" s="8"/>
      <c r="B269" s="177"/>
      <c r="C269" s="8" t="str">
        <f>IF(ISBLANK(A269),"",VLOOKUP(A269,DOI_URL!$B$1:$C$74,2,FALSE()))</f>
        <v/>
      </c>
      <c r="D269" s="8"/>
      <c r="E269" s="8"/>
      <c r="J269" s="8"/>
      <c r="K269" s="8"/>
    </row>
    <row r="270">
      <c r="A270" s="8"/>
      <c r="B270" s="177"/>
      <c r="C270" s="8" t="str">
        <f>IF(ISBLANK(A270),"",VLOOKUP(A270,DOI_URL!$B$1:$C$74,2,FALSE()))</f>
        <v/>
      </c>
      <c r="D270" s="8"/>
      <c r="E270" s="8"/>
      <c r="J270" s="8"/>
      <c r="K270" s="8"/>
    </row>
    <row r="271">
      <c r="A271" s="8"/>
      <c r="B271" s="177"/>
      <c r="C271" s="8" t="str">
        <f>IF(ISBLANK(A271),"",VLOOKUP(A271,DOI_URL!$B$1:$C$74,2,FALSE()))</f>
        <v/>
      </c>
      <c r="D271" s="8"/>
      <c r="E271" s="8"/>
      <c r="J271" s="8"/>
      <c r="K271" s="8"/>
    </row>
    <row r="272">
      <c r="A272" s="8"/>
      <c r="B272" s="177"/>
      <c r="C272" s="8" t="str">
        <f>IF(ISBLANK(A272),"",VLOOKUP(A272,DOI_URL!$B$1:$C$74,2,FALSE()))</f>
        <v/>
      </c>
      <c r="D272" s="8"/>
      <c r="E272" s="8"/>
      <c r="J272" s="8"/>
      <c r="K272" s="8"/>
    </row>
    <row r="273">
      <c r="A273" s="8"/>
      <c r="B273" s="177"/>
      <c r="C273" s="8" t="str">
        <f>IF(ISBLANK(A273),"",VLOOKUP(A273,DOI_URL!$B$1:$C$74,2,FALSE()))</f>
        <v/>
      </c>
      <c r="D273" s="8"/>
      <c r="E273" s="8"/>
      <c r="J273" s="8"/>
      <c r="K273" s="8"/>
    </row>
    <row r="274">
      <c r="A274" s="8"/>
      <c r="B274" s="177"/>
      <c r="C274" s="8" t="str">
        <f>IF(ISBLANK(A274),"",VLOOKUP(A274,DOI_URL!$B$1:$C$74,2,FALSE()))</f>
        <v/>
      </c>
      <c r="D274" s="8"/>
      <c r="E274" s="8"/>
      <c r="J274" s="8"/>
      <c r="K274" s="8"/>
    </row>
    <row r="275">
      <c r="A275" s="8"/>
      <c r="B275" s="177"/>
      <c r="C275" s="8" t="str">
        <f>IF(ISBLANK(A275),"",VLOOKUP(A275,DOI_URL!$B$1:$C$74,2,FALSE()))</f>
        <v/>
      </c>
      <c r="D275" s="8"/>
      <c r="E275" s="8"/>
      <c r="J275" s="8"/>
      <c r="K275" s="8"/>
    </row>
    <row r="276">
      <c r="A276" s="8"/>
      <c r="B276" s="177"/>
      <c r="C276" s="8" t="str">
        <f>IF(ISBLANK(A276),"",VLOOKUP(A276,DOI_URL!$B$1:$C$74,2,FALSE()))</f>
        <v/>
      </c>
      <c r="D276" s="8"/>
      <c r="E276" s="8"/>
      <c r="J276" s="8"/>
      <c r="K276" s="8"/>
    </row>
    <row r="277">
      <c r="A277" s="8"/>
      <c r="B277" s="177"/>
      <c r="C277" s="8" t="str">
        <f>IF(ISBLANK(A277),"",VLOOKUP(A277,DOI_URL!$B$1:$C$74,2,FALSE()))</f>
        <v/>
      </c>
      <c r="D277" s="8"/>
      <c r="E277" s="8"/>
      <c r="J277" s="8"/>
      <c r="K277" s="8"/>
    </row>
    <row r="278">
      <c r="A278" s="8"/>
      <c r="B278" s="177"/>
      <c r="C278" s="8" t="str">
        <f>IF(ISBLANK(A278),"",VLOOKUP(A278,DOI_URL!$B$1:$C$74,2,FALSE()))</f>
        <v/>
      </c>
      <c r="D278" s="8"/>
      <c r="E278" s="8"/>
      <c r="J278" s="8"/>
      <c r="K278" s="8"/>
    </row>
    <row r="279">
      <c r="A279" s="8"/>
      <c r="B279" s="177"/>
      <c r="C279" s="8" t="str">
        <f>IF(ISBLANK(A279),"",VLOOKUP(A279,DOI_URL!$B$1:$C$74,2,FALSE()))</f>
        <v/>
      </c>
      <c r="D279" s="8"/>
      <c r="E279" s="8"/>
      <c r="J279" s="8"/>
      <c r="K279" s="8"/>
    </row>
    <row r="280">
      <c r="A280" s="8"/>
      <c r="B280" s="177"/>
      <c r="C280" s="8" t="str">
        <f>IF(ISBLANK(A280),"",VLOOKUP(A280,DOI_URL!$B$1:$C$74,2,FALSE()))</f>
        <v/>
      </c>
      <c r="D280" s="8"/>
      <c r="E280" s="8"/>
      <c r="J280" s="8"/>
      <c r="K280" s="8"/>
    </row>
    <row r="281">
      <c r="A281" s="8"/>
      <c r="B281" s="177"/>
      <c r="C281" s="8" t="str">
        <f>IF(ISBLANK(A281),"",VLOOKUP(A281,DOI_URL!$B$1:$C$74,2,FALSE()))</f>
        <v/>
      </c>
      <c r="D281" s="8"/>
      <c r="E281" s="8"/>
      <c r="J281" s="8"/>
      <c r="K281" s="8"/>
    </row>
    <row r="282">
      <c r="A282" s="8"/>
      <c r="B282" s="177"/>
      <c r="C282" s="8" t="str">
        <f>IF(ISBLANK(A282),"",VLOOKUP(A282,DOI_URL!$B$1:$C$74,2,FALSE()))</f>
        <v/>
      </c>
      <c r="D282" s="8"/>
      <c r="E282" s="8"/>
      <c r="J282" s="8"/>
      <c r="K282" s="8"/>
    </row>
    <row r="283">
      <c r="A283" s="8"/>
      <c r="B283" s="177"/>
      <c r="C283" s="8" t="str">
        <f>IF(ISBLANK(A283),"",VLOOKUP(A283,DOI_URL!$B$1:$C$74,2,FALSE()))</f>
        <v/>
      </c>
      <c r="D283" s="8"/>
      <c r="E283" s="8"/>
      <c r="J283" s="8"/>
      <c r="K283" s="8"/>
    </row>
    <row r="284">
      <c r="A284" s="8"/>
      <c r="B284" s="177"/>
      <c r="C284" s="8" t="str">
        <f>IF(ISBLANK(A284),"",VLOOKUP(A284,DOI_URL!$B$1:$C$74,2,FALSE()))</f>
        <v/>
      </c>
      <c r="D284" s="8"/>
      <c r="E284" s="8"/>
      <c r="J284" s="8"/>
      <c r="K284" s="8"/>
    </row>
    <row r="285">
      <c r="A285" s="8"/>
      <c r="B285" s="177"/>
      <c r="C285" s="8" t="str">
        <f>IF(ISBLANK(A285),"",VLOOKUP(A285,DOI_URL!$B$1:$C$74,2,FALSE()))</f>
        <v/>
      </c>
      <c r="D285" s="8"/>
      <c r="E285" s="8"/>
      <c r="J285" s="8"/>
      <c r="K285" s="8"/>
    </row>
    <row r="286">
      <c r="A286" s="8"/>
      <c r="B286" s="177"/>
      <c r="C286" s="8" t="str">
        <f>IF(ISBLANK(A286),"",VLOOKUP(A286,DOI_URL!$B$1:$C$74,2,FALSE()))</f>
        <v/>
      </c>
      <c r="D286" s="8"/>
      <c r="E286" s="8"/>
      <c r="J286" s="8"/>
      <c r="K286" s="8"/>
    </row>
    <row r="287">
      <c r="A287" s="8"/>
      <c r="B287" s="177"/>
      <c r="C287" s="8" t="str">
        <f>IF(ISBLANK(A287),"",VLOOKUP(A287,DOI_URL!$B$1:$C$74,2,FALSE()))</f>
        <v/>
      </c>
      <c r="D287" s="8"/>
      <c r="E287" s="8"/>
      <c r="J287" s="8"/>
      <c r="K287" s="8"/>
    </row>
    <row r="288">
      <c r="A288" s="8"/>
      <c r="B288" s="177"/>
      <c r="C288" s="8" t="str">
        <f>IF(ISBLANK(A288),"",VLOOKUP(A288,DOI_URL!$B$1:$C$74,2,FALSE()))</f>
        <v/>
      </c>
      <c r="D288" s="8"/>
      <c r="E288" s="8"/>
      <c r="J288" s="8"/>
      <c r="K288" s="8"/>
    </row>
    <row r="289">
      <c r="A289" s="8"/>
      <c r="B289" s="177"/>
      <c r="C289" s="8" t="str">
        <f>IF(ISBLANK(A289),"",VLOOKUP(A289,DOI_URL!$B$1:$C$74,2,FALSE()))</f>
        <v/>
      </c>
      <c r="D289" s="8"/>
      <c r="E289" s="8"/>
      <c r="J289" s="8"/>
      <c r="K289" s="8"/>
    </row>
    <row r="290">
      <c r="A290" s="8"/>
      <c r="B290" s="177"/>
      <c r="C290" s="8" t="str">
        <f>IF(ISBLANK(A290),"",VLOOKUP(A290,DOI_URL!$B$1:$C$74,2,FALSE()))</f>
        <v/>
      </c>
      <c r="D290" s="8"/>
      <c r="E290" s="8"/>
      <c r="J290" s="8"/>
      <c r="K290" s="8"/>
    </row>
    <row r="291">
      <c r="A291" s="8"/>
      <c r="B291" s="177"/>
      <c r="C291" s="8" t="str">
        <f>IF(ISBLANK(A291),"",VLOOKUP(A291,DOI_URL!$B$1:$C$74,2,FALSE()))</f>
        <v/>
      </c>
      <c r="D291" s="8"/>
      <c r="E291" s="8"/>
      <c r="J291" s="8"/>
      <c r="K291" s="8"/>
    </row>
    <row r="292">
      <c r="A292" s="8"/>
      <c r="B292" s="177"/>
      <c r="C292" s="8" t="str">
        <f>IF(ISBLANK(A292),"",VLOOKUP(A292,DOI_URL!$B$1:$C$74,2,FALSE()))</f>
        <v/>
      </c>
      <c r="D292" s="8"/>
      <c r="E292" s="8"/>
      <c r="J292" s="8"/>
      <c r="K292" s="8"/>
    </row>
    <row r="293">
      <c r="A293" s="8"/>
      <c r="B293" s="177"/>
      <c r="C293" s="8" t="str">
        <f>IF(ISBLANK(A293),"",VLOOKUP(A293,DOI_URL!$B$1:$C$74,2,FALSE()))</f>
        <v/>
      </c>
      <c r="D293" s="8"/>
      <c r="E293" s="8"/>
      <c r="J293" s="8"/>
      <c r="K293" s="8"/>
    </row>
    <row r="294">
      <c r="A294" s="8"/>
      <c r="B294" s="177"/>
      <c r="C294" s="8" t="str">
        <f>IF(ISBLANK(A294),"",VLOOKUP(A294,DOI_URL!$B$1:$C$74,2,FALSE()))</f>
        <v/>
      </c>
      <c r="D294" s="8"/>
      <c r="E294" s="8"/>
      <c r="J294" s="8"/>
      <c r="K294" s="8"/>
    </row>
    <row r="295">
      <c r="A295" s="8"/>
      <c r="B295" s="177"/>
      <c r="C295" s="8" t="str">
        <f>IF(ISBLANK(A295),"",VLOOKUP(A295,DOI_URL!$B$1:$C$74,2,FALSE()))</f>
        <v/>
      </c>
      <c r="D295" s="8"/>
      <c r="E295" s="8"/>
      <c r="J295" s="8"/>
      <c r="K295" s="8"/>
    </row>
    <row r="296">
      <c r="A296" s="8"/>
      <c r="B296" s="177"/>
      <c r="C296" s="8" t="str">
        <f>IF(ISBLANK(A296),"",VLOOKUP(A296,DOI_URL!$B$1:$C$74,2,FALSE()))</f>
        <v/>
      </c>
      <c r="D296" s="8"/>
      <c r="E296" s="8"/>
      <c r="J296" s="8"/>
      <c r="K296" s="8"/>
    </row>
    <row r="297">
      <c r="A297" s="8"/>
      <c r="B297" s="177"/>
      <c r="C297" s="8" t="str">
        <f>IF(ISBLANK(A297),"",VLOOKUP(A297,DOI_URL!$B$1:$C$74,2,FALSE()))</f>
        <v/>
      </c>
      <c r="D297" s="8"/>
      <c r="E297" s="8"/>
      <c r="J297" s="8"/>
      <c r="K297" s="8"/>
    </row>
    <row r="298">
      <c r="A298" s="8"/>
      <c r="B298" s="177"/>
      <c r="C298" s="8" t="str">
        <f>IF(ISBLANK(A298),"",VLOOKUP(A298,DOI_URL!$B$1:$C$74,2,FALSE()))</f>
        <v/>
      </c>
      <c r="D298" s="8"/>
      <c r="E298" s="8"/>
      <c r="J298" s="8"/>
      <c r="K298" s="8"/>
    </row>
    <row r="299">
      <c r="A299" s="8"/>
      <c r="B299" s="177"/>
      <c r="C299" s="8" t="str">
        <f>IF(ISBLANK(A299),"",VLOOKUP(A299,DOI_URL!$B$1:$C$74,2,FALSE()))</f>
        <v/>
      </c>
      <c r="D299" s="8"/>
      <c r="E299" s="8"/>
      <c r="J299" s="8"/>
      <c r="K299" s="8"/>
    </row>
    <row r="300">
      <c r="A300" s="8"/>
      <c r="B300" s="177"/>
      <c r="C300" s="8" t="str">
        <f>IF(ISBLANK(A300),"",VLOOKUP(A300,DOI_URL!$B$1:$C$74,2,FALSE()))</f>
        <v/>
      </c>
      <c r="D300" s="8"/>
      <c r="E300" s="8"/>
      <c r="J300" s="8"/>
      <c r="K300" s="8"/>
    </row>
    <row r="301">
      <c r="A301" s="8"/>
      <c r="B301" s="177"/>
      <c r="C301" s="8" t="str">
        <f>IF(ISBLANK(A301),"",VLOOKUP(A301,DOI_URL!$B$1:$C$74,2,FALSE()))</f>
        <v/>
      </c>
      <c r="D301" s="8"/>
      <c r="E301" s="8"/>
      <c r="J301" s="8"/>
      <c r="K301" s="8"/>
    </row>
    <row r="302">
      <c r="A302" s="8"/>
      <c r="B302" s="177"/>
      <c r="C302" s="8" t="str">
        <f>IF(ISBLANK(A302),"",VLOOKUP(A302,DOI_URL!$B$1:$C$74,2,FALSE()))</f>
        <v/>
      </c>
      <c r="D302" s="8"/>
      <c r="E302" s="8"/>
      <c r="J302" s="8"/>
      <c r="K302" s="8"/>
    </row>
    <row r="303">
      <c r="A303" s="8"/>
      <c r="B303" s="177"/>
      <c r="C303" s="8" t="str">
        <f>IF(ISBLANK(A303),"",VLOOKUP(A303,DOI_URL!$B$1:$C$74,2,FALSE()))</f>
        <v/>
      </c>
      <c r="D303" s="8"/>
      <c r="E303" s="8"/>
      <c r="J303" s="8"/>
      <c r="K303" s="8"/>
    </row>
    <row r="304">
      <c r="A304" s="8"/>
      <c r="B304" s="177"/>
      <c r="C304" s="8" t="str">
        <f>IF(ISBLANK(A304),"",VLOOKUP(A304,DOI_URL!$B$1:$C$74,2,FALSE()))</f>
        <v/>
      </c>
      <c r="D304" s="8"/>
      <c r="E304" s="8"/>
      <c r="J304" s="8"/>
      <c r="K304" s="8"/>
    </row>
    <row r="305">
      <c r="A305" s="8"/>
      <c r="B305" s="177"/>
      <c r="C305" s="8" t="str">
        <f>IF(ISBLANK(A305),"",VLOOKUP(A305,DOI_URL!$B$1:$C$74,2,FALSE()))</f>
        <v/>
      </c>
      <c r="D305" s="8"/>
      <c r="E305" s="8"/>
      <c r="J305" s="8"/>
      <c r="K305" s="8"/>
    </row>
    <row r="306">
      <c r="A306" s="8"/>
      <c r="B306" s="177"/>
      <c r="C306" s="8" t="str">
        <f>IF(ISBLANK(A306),"",VLOOKUP(A306,DOI_URL!$B$1:$C$74,2,FALSE()))</f>
        <v/>
      </c>
      <c r="D306" s="8"/>
      <c r="E306" s="8"/>
      <c r="J306" s="8"/>
      <c r="K306" s="8"/>
    </row>
    <row r="307">
      <c r="A307" s="8"/>
      <c r="B307" s="177"/>
      <c r="C307" s="8" t="str">
        <f>IF(ISBLANK(A307),"",VLOOKUP(A307,DOI_URL!$B$1:$C$74,2,FALSE()))</f>
        <v/>
      </c>
      <c r="D307" s="8"/>
      <c r="E307" s="8"/>
      <c r="J307" s="8"/>
      <c r="K307" s="8"/>
    </row>
    <row r="308">
      <c r="A308" s="8"/>
      <c r="B308" s="177"/>
      <c r="C308" s="8" t="str">
        <f>IF(ISBLANK(A308),"",VLOOKUP(A308,DOI_URL!$B$1:$C$74,2,FALSE()))</f>
        <v/>
      </c>
      <c r="D308" s="8"/>
      <c r="E308" s="8"/>
      <c r="J308" s="8"/>
      <c r="K308" s="8"/>
    </row>
    <row r="309">
      <c r="A309" s="8"/>
      <c r="B309" s="177"/>
      <c r="C309" s="8" t="str">
        <f>IF(ISBLANK(A309),"",VLOOKUP(A309,DOI_URL!$B$1:$C$74,2,FALSE()))</f>
        <v/>
      </c>
      <c r="D309" s="8"/>
      <c r="E309" s="8"/>
      <c r="J309" s="8"/>
      <c r="K309" s="8"/>
    </row>
    <row r="310">
      <c r="A310" s="8"/>
      <c r="B310" s="177"/>
      <c r="C310" s="8" t="str">
        <f>IF(ISBLANK(A310),"",VLOOKUP(A310,DOI_URL!$B$1:$C$74,2,FALSE()))</f>
        <v/>
      </c>
      <c r="D310" s="8"/>
      <c r="E310" s="8"/>
      <c r="J310" s="8"/>
      <c r="K310" s="8"/>
    </row>
    <row r="311">
      <c r="A311" s="8"/>
      <c r="B311" s="177"/>
      <c r="C311" s="8" t="str">
        <f>IF(ISBLANK(A311),"",VLOOKUP(A311,DOI_URL!$B$1:$C$74,2,FALSE()))</f>
        <v/>
      </c>
      <c r="D311" s="8"/>
      <c r="E311" s="8"/>
      <c r="J311" s="8"/>
      <c r="K311" s="8"/>
    </row>
    <row r="312">
      <c r="A312" s="8"/>
      <c r="B312" s="177"/>
      <c r="C312" s="8" t="str">
        <f>IF(ISBLANK(A312),"",VLOOKUP(A312,DOI_URL!$B$1:$C$74,2,FALSE()))</f>
        <v/>
      </c>
      <c r="D312" s="8"/>
      <c r="E312" s="8"/>
      <c r="J312" s="8"/>
      <c r="K312" s="8"/>
    </row>
    <row r="313">
      <c r="A313" s="8"/>
      <c r="B313" s="177"/>
      <c r="C313" s="8" t="str">
        <f>IF(ISBLANK(A313),"",VLOOKUP(A313,DOI_URL!$B$1:$C$74,2,FALSE()))</f>
        <v/>
      </c>
      <c r="D313" s="8"/>
      <c r="E313" s="8"/>
      <c r="J313" s="8"/>
      <c r="K313" s="8"/>
    </row>
    <row r="314">
      <c r="A314" s="8"/>
      <c r="B314" s="177"/>
      <c r="C314" s="8" t="str">
        <f>IF(ISBLANK(A314),"",VLOOKUP(A314,DOI_URL!$B$1:$C$74,2,FALSE()))</f>
        <v/>
      </c>
      <c r="D314" s="8"/>
      <c r="E314" s="8"/>
      <c r="J314" s="8"/>
      <c r="K314" s="8"/>
    </row>
    <row r="315">
      <c r="A315" s="8"/>
      <c r="B315" s="177"/>
      <c r="C315" s="8" t="str">
        <f>IF(ISBLANK(A315),"",VLOOKUP(A315,DOI_URL!$B$1:$C$74,2,FALSE()))</f>
        <v/>
      </c>
      <c r="D315" s="8"/>
      <c r="E315" s="8"/>
      <c r="J315" s="8"/>
      <c r="K315" s="8"/>
    </row>
    <row r="316">
      <c r="A316" s="8"/>
      <c r="B316" s="177"/>
      <c r="C316" s="8" t="str">
        <f>IF(ISBLANK(A316),"",VLOOKUP(A316,DOI_URL!$B$1:$C$74,2,FALSE()))</f>
        <v/>
      </c>
      <c r="D316" s="8"/>
      <c r="E316" s="8"/>
      <c r="J316" s="8"/>
      <c r="K316" s="8"/>
    </row>
    <row r="317">
      <c r="A317" s="8"/>
      <c r="B317" s="177"/>
      <c r="C317" s="8" t="str">
        <f>IF(ISBLANK(A317),"",VLOOKUP(A317,DOI_URL!$B$1:$C$74,2,FALSE()))</f>
        <v/>
      </c>
      <c r="D317" s="8"/>
      <c r="E317" s="8"/>
      <c r="J317" s="8"/>
      <c r="K317" s="8"/>
    </row>
    <row r="318">
      <c r="A318" s="8"/>
      <c r="B318" s="177"/>
      <c r="C318" s="8" t="str">
        <f>IF(ISBLANK(A318),"",VLOOKUP(A318,DOI_URL!$B$1:$C$74,2,FALSE()))</f>
        <v/>
      </c>
      <c r="D318" s="8"/>
      <c r="E318" s="8"/>
      <c r="J318" s="8"/>
      <c r="K318" s="8"/>
    </row>
    <row r="319">
      <c r="A319" s="8"/>
      <c r="B319" s="177"/>
      <c r="C319" s="8" t="str">
        <f>IF(ISBLANK(A319),"",VLOOKUP(A319,DOI_URL!$B$1:$C$74,2,FALSE()))</f>
        <v/>
      </c>
      <c r="D319" s="8"/>
      <c r="E319" s="8"/>
      <c r="J319" s="8"/>
      <c r="K319" s="8"/>
    </row>
    <row r="320">
      <c r="A320" s="8"/>
      <c r="B320" s="177"/>
      <c r="C320" s="8" t="str">
        <f>IF(ISBLANK(A320),"",VLOOKUP(A320,DOI_URL!$B$1:$C$74,2,FALSE()))</f>
        <v/>
      </c>
      <c r="D320" s="8"/>
      <c r="E320" s="8"/>
      <c r="J320" s="8"/>
      <c r="K320" s="8"/>
    </row>
    <row r="321">
      <c r="A321" s="8"/>
      <c r="B321" s="177"/>
      <c r="C321" s="8" t="str">
        <f>IF(ISBLANK(A321),"",VLOOKUP(A321,DOI_URL!$B$1:$C$74,2,FALSE()))</f>
        <v/>
      </c>
      <c r="D321" s="8"/>
      <c r="E321" s="8"/>
      <c r="J321" s="8"/>
      <c r="K321" s="8"/>
    </row>
    <row r="322">
      <c r="A322" s="8"/>
      <c r="B322" s="177"/>
      <c r="C322" s="8" t="str">
        <f>IF(ISBLANK(A322),"",VLOOKUP(A322,DOI_URL!$B$1:$C$74,2,FALSE()))</f>
        <v/>
      </c>
      <c r="D322" s="8"/>
      <c r="E322" s="8"/>
      <c r="J322" s="8"/>
      <c r="K322" s="8"/>
    </row>
    <row r="323">
      <c r="A323" s="8"/>
      <c r="B323" s="177"/>
      <c r="C323" s="8" t="str">
        <f>IF(ISBLANK(A323),"",VLOOKUP(A323,DOI_URL!$B$1:$C$74,2,FALSE()))</f>
        <v/>
      </c>
      <c r="D323" s="8"/>
      <c r="E323" s="8"/>
      <c r="J323" s="8"/>
      <c r="K323" s="8"/>
    </row>
    <row r="324">
      <c r="A324" s="8"/>
      <c r="B324" s="177"/>
      <c r="C324" s="8" t="str">
        <f>IF(ISBLANK(A324),"",VLOOKUP(A324,DOI_URL!$B$1:$C$74,2,FALSE()))</f>
        <v/>
      </c>
      <c r="D324" s="8"/>
      <c r="E324" s="8"/>
      <c r="J324" s="8"/>
      <c r="K324" s="8"/>
    </row>
    <row r="325">
      <c r="A325" s="8"/>
      <c r="B325" s="177"/>
      <c r="C325" s="8" t="str">
        <f>IF(ISBLANK(A325),"",VLOOKUP(A325,DOI_URL!$B$1:$C$74,2,FALSE()))</f>
        <v/>
      </c>
      <c r="D325" s="8"/>
      <c r="E325" s="8"/>
      <c r="J325" s="8"/>
      <c r="K325" s="8"/>
    </row>
    <row r="326">
      <c r="A326" s="8"/>
      <c r="B326" s="177"/>
      <c r="C326" s="8" t="str">
        <f>IF(ISBLANK(A326),"",VLOOKUP(A326,DOI_URL!$B$1:$C$74,2,FALSE()))</f>
        <v/>
      </c>
      <c r="D326" s="8"/>
      <c r="E326" s="8"/>
      <c r="J326" s="8"/>
      <c r="K326" s="8"/>
    </row>
    <row r="327">
      <c r="A327" s="8"/>
      <c r="B327" s="177"/>
      <c r="C327" s="8" t="str">
        <f>IF(ISBLANK(A327),"",VLOOKUP(A327,DOI_URL!$B$1:$C$74,2,FALSE()))</f>
        <v/>
      </c>
      <c r="D327" s="8"/>
      <c r="E327" s="8"/>
      <c r="J327" s="8"/>
      <c r="K327" s="8"/>
    </row>
    <row r="328">
      <c r="A328" s="8"/>
      <c r="B328" s="177"/>
      <c r="C328" s="8" t="str">
        <f>IF(ISBLANK(A328),"",VLOOKUP(A328,DOI_URL!$B$1:$C$74,2,FALSE()))</f>
        <v/>
      </c>
      <c r="D328" s="8"/>
      <c r="E328" s="8"/>
      <c r="J328" s="8"/>
      <c r="K328" s="8"/>
    </row>
    <row r="329">
      <c r="A329" s="8"/>
      <c r="B329" s="177"/>
      <c r="C329" s="8" t="str">
        <f>IF(ISBLANK(A329),"",VLOOKUP(A329,DOI_URL!$B$1:$C$74,2,FALSE()))</f>
        <v/>
      </c>
      <c r="D329" s="8"/>
      <c r="E329" s="8"/>
      <c r="J329" s="8"/>
      <c r="K329" s="8"/>
    </row>
    <row r="330">
      <c r="A330" s="8"/>
      <c r="B330" s="177"/>
      <c r="C330" s="8" t="str">
        <f>IF(ISBLANK(A330),"",VLOOKUP(A330,DOI_URL!$B$1:$C$74,2,FALSE()))</f>
        <v/>
      </c>
      <c r="D330" s="8"/>
      <c r="E330" s="8"/>
      <c r="J330" s="8"/>
      <c r="K330" s="8"/>
    </row>
    <row r="331">
      <c r="A331" s="8"/>
      <c r="B331" s="177"/>
      <c r="C331" s="8" t="str">
        <f>IF(ISBLANK(A331),"",VLOOKUP(A331,DOI_URL!$B$1:$C$74,2,FALSE()))</f>
        <v/>
      </c>
      <c r="D331" s="8"/>
      <c r="E331" s="8"/>
      <c r="J331" s="8"/>
      <c r="K331" s="8"/>
    </row>
    <row r="332">
      <c r="A332" s="8"/>
      <c r="B332" s="177"/>
      <c r="C332" s="8" t="str">
        <f>IF(ISBLANK(A332),"",VLOOKUP(A332,DOI_URL!$B$1:$C$74,2,FALSE()))</f>
        <v/>
      </c>
      <c r="D332" s="8"/>
      <c r="E332" s="8"/>
      <c r="J332" s="8"/>
      <c r="K332" s="8"/>
    </row>
    <row r="333">
      <c r="A333" s="8"/>
      <c r="B333" s="177"/>
      <c r="C333" s="8" t="str">
        <f>IF(ISBLANK(A333),"",VLOOKUP(A333,DOI_URL!$B$1:$C$74,2,FALSE()))</f>
        <v/>
      </c>
      <c r="D333" s="8"/>
      <c r="E333" s="8"/>
      <c r="J333" s="8"/>
      <c r="K333" s="8"/>
    </row>
    <row r="334">
      <c r="A334" s="8"/>
      <c r="B334" s="177"/>
      <c r="C334" s="8" t="str">
        <f>IF(ISBLANK(A334),"",VLOOKUP(A334,DOI_URL!$B$1:$C$74,2,FALSE()))</f>
        <v/>
      </c>
      <c r="D334" s="8"/>
      <c r="E334" s="8"/>
      <c r="J334" s="8"/>
      <c r="K334" s="8"/>
    </row>
    <row r="335">
      <c r="A335" s="8"/>
      <c r="B335" s="177"/>
      <c r="C335" s="8" t="str">
        <f>IF(ISBLANK(A335),"",VLOOKUP(A335,DOI_URL!$B$1:$C$74,2,FALSE()))</f>
        <v/>
      </c>
      <c r="D335" s="8"/>
      <c r="E335" s="8"/>
      <c r="J335" s="8"/>
      <c r="K335" s="8"/>
    </row>
    <row r="336">
      <c r="A336" s="8"/>
      <c r="B336" s="177"/>
      <c r="C336" s="8" t="str">
        <f>IF(ISBLANK(A336),"",VLOOKUP(A336,DOI_URL!$B$1:$C$74,2,FALSE()))</f>
        <v/>
      </c>
      <c r="D336" s="8"/>
      <c r="E336" s="8"/>
      <c r="J336" s="8"/>
      <c r="K336" s="8"/>
    </row>
    <row r="337">
      <c r="A337" s="8"/>
      <c r="B337" s="177"/>
      <c r="C337" s="8" t="str">
        <f>IF(ISBLANK(A337),"",VLOOKUP(A337,DOI_URL!$B$1:$C$74,2,FALSE()))</f>
        <v/>
      </c>
      <c r="D337" s="8"/>
      <c r="E337" s="8"/>
      <c r="J337" s="8"/>
      <c r="K337" s="8"/>
    </row>
    <row r="338">
      <c r="A338" s="8"/>
      <c r="B338" s="177"/>
      <c r="C338" s="8" t="str">
        <f>IF(ISBLANK(A338),"",VLOOKUP(A338,DOI_URL!$B$1:$C$74,2,FALSE()))</f>
        <v/>
      </c>
      <c r="D338" s="8"/>
      <c r="E338" s="8"/>
      <c r="J338" s="8"/>
      <c r="K338" s="8"/>
    </row>
    <row r="339">
      <c r="A339" s="8"/>
      <c r="B339" s="177"/>
      <c r="C339" s="8" t="str">
        <f>IF(ISBLANK(A339),"",VLOOKUP(A339,DOI_URL!$B$1:$C$74,2,FALSE()))</f>
        <v/>
      </c>
      <c r="D339" s="8"/>
      <c r="E339" s="8"/>
      <c r="J339" s="8"/>
      <c r="K339" s="8"/>
    </row>
    <row r="340">
      <c r="A340" s="8"/>
      <c r="B340" s="177"/>
      <c r="C340" s="8" t="str">
        <f>IF(ISBLANK(A340),"",VLOOKUP(A340,DOI_URL!$B$1:$C$74,2,FALSE()))</f>
        <v/>
      </c>
      <c r="D340" s="8"/>
      <c r="E340" s="8"/>
      <c r="J340" s="8"/>
      <c r="K340" s="8"/>
    </row>
    <row r="341">
      <c r="A341" s="8"/>
      <c r="B341" s="177"/>
      <c r="C341" s="8" t="str">
        <f>IF(ISBLANK(A341),"",VLOOKUP(A341,DOI_URL!$B$1:$C$74,2,FALSE()))</f>
        <v/>
      </c>
      <c r="D341" s="8"/>
      <c r="E341" s="8"/>
      <c r="J341" s="8"/>
      <c r="K341" s="8"/>
    </row>
    <row r="342">
      <c r="A342" s="8"/>
      <c r="B342" s="177"/>
      <c r="C342" s="8" t="str">
        <f>IF(ISBLANK(A342),"",VLOOKUP(A342,DOI_URL!$B$1:$C$74,2,FALSE()))</f>
        <v/>
      </c>
      <c r="D342" s="8"/>
      <c r="E342" s="8"/>
      <c r="J342" s="8"/>
      <c r="K342" s="8"/>
    </row>
    <row r="343">
      <c r="A343" s="8"/>
      <c r="B343" s="177"/>
      <c r="C343" s="8" t="str">
        <f>IF(ISBLANK(A343),"",VLOOKUP(A343,DOI_URL!$B$1:$C$74,2,FALSE()))</f>
        <v/>
      </c>
      <c r="D343" s="8"/>
      <c r="E343" s="8"/>
      <c r="J343" s="8"/>
      <c r="K343" s="8"/>
    </row>
    <row r="344">
      <c r="A344" s="8"/>
      <c r="B344" s="177"/>
      <c r="C344" s="8" t="str">
        <f>IF(ISBLANK(A344),"",VLOOKUP(A344,DOI_URL!$B$1:$C$74,2,FALSE()))</f>
        <v/>
      </c>
      <c r="D344" s="8"/>
      <c r="E344" s="8"/>
      <c r="J344" s="8"/>
      <c r="K344" s="8"/>
    </row>
    <row r="345">
      <c r="A345" s="8"/>
      <c r="B345" s="177"/>
      <c r="C345" s="8" t="str">
        <f>IF(ISBLANK(A345),"",VLOOKUP(A345,DOI_URL!$B$1:$C$74,2,FALSE()))</f>
        <v/>
      </c>
      <c r="D345" s="8"/>
      <c r="E345" s="8"/>
      <c r="J345" s="8"/>
      <c r="K345" s="8"/>
    </row>
    <row r="346">
      <c r="A346" s="8"/>
      <c r="B346" s="177"/>
      <c r="C346" s="8" t="str">
        <f>IF(ISBLANK(A346),"",VLOOKUP(A346,DOI_URL!$B$1:$C$74,2,FALSE()))</f>
        <v/>
      </c>
      <c r="D346" s="8"/>
      <c r="E346" s="8"/>
      <c r="J346" s="8"/>
      <c r="K346" s="8"/>
    </row>
    <row r="347">
      <c r="A347" s="8"/>
      <c r="B347" s="177"/>
      <c r="C347" s="8" t="str">
        <f>IF(ISBLANK(A347),"",VLOOKUP(A347,DOI_URL!$B$1:$C$74,2,FALSE()))</f>
        <v/>
      </c>
      <c r="D347" s="8"/>
      <c r="E347" s="8"/>
      <c r="J347" s="8"/>
      <c r="K347" s="8"/>
    </row>
    <row r="348">
      <c r="A348" s="8"/>
      <c r="B348" s="177"/>
      <c r="C348" s="8" t="str">
        <f>IF(ISBLANK(A348),"",VLOOKUP(A348,DOI_URL!$B$1:$C$74,2,FALSE()))</f>
        <v/>
      </c>
      <c r="D348" s="8"/>
      <c r="E348" s="8"/>
      <c r="J348" s="8"/>
      <c r="K348" s="8"/>
    </row>
    <row r="349">
      <c r="A349" s="8"/>
      <c r="B349" s="177"/>
      <c r="C349" s="8" t="str">
        <f>IF(ISBLANK(A349),"",VLOOKUP(A349,DOI_URL!$B$1:$C$74,2,FALSE()))</f>
        <v/>
      </c>
      <c r="D349" s="8"/>
      <c r="E349" s="8"/>
      <c r="J349" s="8"/>
      <c r="K349" s="8"/>
    </row>
    <row r="350">
      <c r="A350" s="8"/>
      <c r="B350" s="177"/>
      <c r="C350" s="8" t="str">
        <f>IF(ISBLANK(A350),"",VLOOKUP(A350,DOI_URL!$B$1:$C$74,2,FALSE()))</f>
        <v/>
      </c>
      <c r="D350" s="8"/>
      <c r="E350" s="8"/>
      <c r="J350" s="8"/>
      <c r="K350" s="8"/>
    </row>
    <row r="351">
      <c r="A351" s="8"/>
      <c r="B351" s="177"/>
      <c r="C351" s="8" t="str">
        <f>IF(ISBLANK(A351),"",VLOOKUP(A351,DOI_URL!$B$1:$C$74,2,FALSE()))</f>
        <v/>
      </c>
      <c r="D351" s="8"/>
      <c r="E351" s="8"/>
      <c r="J351" s="8"/>
      <c r="K351" s="8"/>
    </row>
    <row r="352">
      <c r="A352" s="8"/>
      <c r="B352" s="177"/>
      <c r="C352" s="8" t="str">
        <f>IF(ISBLANK(A352),"",VLOOKUP(A352,DOI_URL!$B$1:$C$74,2,FALSE()))</f>
        <v/>
      </c>
      <c r="D352" s="8"/>
      <c r="E352" s="8"/>
      <c r="J352" s="8"/>
      <c r="K352" s="8"/>
    </row>
    <row r="353">
      <c r="A353" s="8"/>
      <c r="B353" s="177"/>
      <c r="C353" s="8" t="str">
        <f>IF(ISBLANK(A353),"",VLOOKUP(A353,DOI_URL!$B$1:$C$74,2,FALSE()))</f>
        <v/>
      </c>
      <c r="D353" s="8"/>
      <c r="E353" s="8"/>
      <c r="J353" s="8"/>
      <c r="K353" s="8"/>
    </row>
    <row r="354">
      <c r="A354" s="8"/>
      <c r="B354" s="177"/>
      <c r="C354" s="8" t="str">
        <f>IF(ISBLANK(A354),"",VLOOKUP(A354,DOI_URL!$B$1:$C$74,2,FALSE()))</f>
        <v/>
      </c>
      <c r="D354" s="8"/>
      <c r="E354" s="8"/>
      <c r="J354" s="8"/>
      <c r="K354" s="8"/>
    </row>
    <row r="355">
      <c r="A355" s="8"/>
      <c r="B355" s="177"/>
      <c r="C355" s="8" t="str">
        <f>IF(ISBLANK(A355),"",VLOOKUP(A355,DOI_URL!$B$1:$C$74,2,FALSE()))</f>
        <v/>
      </c>
      <c r="D355" s="8"/>
      <c r="E355" s="8"/>
      <c r="J355" s="8"/>
      <c r="K355" s="8"/>
    </row>
    <row r="356">
      <c r="A356" s="8"/>
      <c r="B356" s="177"/>
      <c r="C356" s="8" t="str">
        <f>IF(ISBLANK(A356),"",VLOOKUP(A356,DOI_URL!$B$1:$C$74,2,FALSE()))</f>
        <v/>
      </c>
      <c r="D356" s="8"/>
      <c r="E356" s="8"/>
      <c r="J356" s="8"/>
      <c r="K356" s="8"/>
    </row>
    <row r="357">
      <c r="A357" s="8"/>
      <c r="B357" s="177"/>
      <c r="C357" s="8" t="str">
        <f>IF(ISBLANK(A357),"",VLOOKUP(A357,DOI_URL!$B$1:$C$74,2,FALSE()))</f>
        <v/>
      </c>
      <c r="D357" s="8"/>
      <c r="E357" s="8"/>
      <c r="J357" s="8"/>
      <c r="K357" s="8"/>
    </row>
    <row r="358">
      <c r="A358" s="8"/>
      <c r="B358" s="177"/>
      <c r="C358" s="8" t="str">
        <f>IF(ISBLANK(A358),"",VLOOKUP(A358,DOI_URL!$B$1:$C$74,2,FALSE()))</f>
        <v/>
      </c>
      <c r="D358" s="8"/>
      <c r="E358" s="8"/>
      <c r="J358" s="8"/>
      <c r="K358" s="8"/>
    </row>
    <row r="359">
      <c r="A359" s="8"/>
      <c r="B359" s="177"/>
      <c r="C359" s="8" t="str">
        <f>IF(ISBLANK(A359),"",VLOOKUP(A359,DOI_URL!$B$1:$C$74,2,FALSE()))</f>
        <v/>
      </c>
      <c r="D359" s="8"/>
      <c r="E359" s="8"/>
      <c r="J359" s="8"/>
      <c r="K359" s="8"/>
    </row>
    <row r="360">
      <c r="A360" s="8"/>
      <c r="B360" s="177"/>
      <c r="C360" s="8" t="str">
        <f>IF(ISBLANK(A360),"",VLOOKUP(A360,DOI_URL!$B$1:$C$74,2,FALSE()))</f>
        <v/>
      </c>
      <c r="D360" s="8"/>
      <c r="E360" s="8"/>
      <c r="J360" s="8"/>
      <c r="K360" s="8"/>
    </row>
    <row r="361">
      <c r="A361" s="8"/>
      <c r="B361" s="177"/>
      <c r="C361" s="8" t="str">
        <f>IF(ISBLANK(A361),"",VLOOKUP(A361,DOI_URL!$B$1:$C$74,2,FALSE()))</f>
        <v/>
      </c>
      <c r="D361" s="8"/>
      <c r="E361" s="8"/>
      <c r="J361" s="8"/>
      <c r="K361" s="8"/>
    </row>
    <row r="362">
      <c r="A362" s="8"/>
      <c r="B362" s="177"/>
      <c r="C362" s="8" t="str">
        <f>IF(ISBLANK(A362),"",VLOOKUP(A362,DOI_URL!$B$1:$C$74,2,FALSE()))</f>
        <v/>
      </c>
      <c r="D362" s="8"/>
      <c r="E362" s="8"/>
      <c r="J362" s="8"/>
      <c r="K362" s="8"/>
    </row>
    <row r="363">
      <c r="A363" s="8"/>
      <c r="B363" s="177"/>
      <c r="C363" s="8" t="str">
        <f>IF(ISBLANK(A363),"",VLOOKUP(A363,DOI_URL!$B$1:$C$74,2,FALSE()))</f>
        <v/>
      </c>
      <c r="D363" s="8"/>
      <c r="E363" s="8"/>
      <c r="J363" s="8"/>
      <c r="K363" s="8"/>
    </row>
    <row r="364">
      <c r="A364" s="8"/>
      <c r="B364" s="177"/>
      <c r="C364" s="8" t="str">
        <f>IF(ISBLANK(A364),"",VLOOKUP(A364,DOI_URL!$B$1:$C$74,2,FALSE()))</f>
        <v/>
      </c>
      <c r="D364" s="8"/>
      <c r="E364" s="8"/>
      <c r="J364" s="8"/>
      <c r="K364" s="8"/>
    </row>
    <row r="365">
      <c r="A365" s="8"/>
      <c r="B365" s="177"/>
      <c r="C365" s="8" t="str">
        <f>IF(ISBLANK(A365),"",VLOOKUP(A365,DOI_URL!$B$1:$C$74,2,FALSE()))</f>
        <v/>
      </c>
      <c r="D365" s="8"/>
      <c r="E365" s="8"/>
      <c r="J365" s="8"/>
      <c r="K365" s="8"/>
    </row>
    <row r="366">
      <c r="A366" s="8"/>
      <c r="B366" s="177"/>
      <c r="C366" s="8" t="str">
        <f>IF(ISBLANK(A366),"",VLOOKUP(A366,DOI_URL!$B$1:$C$74,2,FALSE()))</f>
        <v/>
      </c>
      <c r="D366" s="8"/>
      <c r="E366" s="8"/>
      <c r="J366" s="8"/>
      <c r="K366" s="8"/>
    </row>
    <row r="367">
      <c r="A367" s="8"/>
      <c r="B367" s="177"/>
      <c r="C367" s="8" t="str">
        <f>IF(ISBLANK(A367),"",VLOOKUP(A367,DOI_URL!$B$1:$C$74,2,FALSE()))</f>
        <v/>
      </c>
      <c r="D367" s="8"/>
      <c r="E367" s="8"/>
      <c r="J367" s="8"/>
      <c r="K367" s="8"/>
    </row>
    <row r="368">
      <c r="A368" s="8"/>
      <c r="B368" s="177"/>
      <c r="C368" s="8" t="str">
        <f>IF(ISBLANK(A368),"",VLOOKUP(A368,DOI_URL!$B$1:$C$74,2,FALSE()))</f>
        <v/>
      </c>
      <c r="D368" s="8"/>
      <c r="E368" s="8"/>
      <c r="J368" s="8"/>
      <c r="K368" s="8"/>
    </row>
    <row r="369">
      <c r="A369" s="8"/>
      <c r="B369" s="177"/>
      <c r="C369" s="8" t="str">
        <f>IF(ISBLANK(A369),"",VLOOKUP(A369,DOI_URL!$B$1:$C$74,2,FALSE()))</f>
        <v/>
      </c>
      <c r="D369" s="8"/>
      <c r="E369" s="8"/>
      <c r="J369" s="8"/>
      <c r="K369" s="8"/>
    </row>
    <row r="370">
      <c r="A370" s="8"/>
      <c r="B370" s="177"/>
      <c r="C370" s="8" t="str">
        <f>IF(ISBLANK(A370),"",VLOOKUP(A370,DOI_URL!$B$1:$C$74,2,FALSE()))</f>
        <v/>
      </c>
      <c r="D370" s="8"/>
      <c r="E370" s="8"/>
      <c r="J370" s="8"/>
      <c r="K370" s="8"/>
    </row>
    <row r="371">
      <c r="A371" s="8"/>
      <c r="B371" s="177"/>
      <c r="C371" s="8" t="str">
        <f>IF(ISBLANK(A371),"",VLOOKUP(A371,DOI_URL!$B$1:$C$74,2,FALSE()))</f>
        <v/>
      </c>
      <c r="D371" s="8"/>
      <c r="E371" s="8"/>
      <c r="J371" s="8"/>
      <c r="K371" s="8"/>
    </row>
    <row r="372">
      <c r="A372" s="8"/>
      <c r="B372" s="177"/>
      <c r="C372" s="8" t="str">
        <f>IF(ISBLANK(A372),"",VLOOKUP(A372,DOI_URL!$B$1:$C$74,2,FALSE()))</f>
        <v/>
      </c>
      <c r="D372" s="8"/>
      <c r="E372" s="8"/>
      <c r="J372" s="8"/>
      <c r="K372" s="8"/>
    </row>
    <row r="373">
      <c r="A373" s="8"/>
      <c r="B373" s="177"/>
      <c r="C373" s="8" t="str">
        <f>IF(ISBLANK(A373),"",VLOOKUP(A373,DOI_URL!$B$1:$C$74,2,FALSE()))</f>
        <v/>
      </c>
      <c r="D373" s="8"/>
      <c r="E373" s="8"/>
      <c r="J373" s="8"/>
      <c r="K373" s="8"/>
    </row>
    <row r="374">
      <c r="A374" s="8"/>
      <c r="B374" s="177"/>
      <c r="C374" s="8" t="str">
        <f>IF(ISBLANK(A374),"",VLOOKUP(A374,DOI_URL!$B$1:$C$74,2,FALSE()))</f>
        <v/>
      </c>
      <c r="D374" s="8"/>
      <c r="E374" s="8"/>
      <c r="J374" s="8"/>
      <c r="K374" s="8"/>
    </row>
    <row r="375">
      <c r="A375" s="8"/>
      <c r="B375" s="177"/>
      <c r="C375" s="8" t="str">
        <f>IF(ISBLANK(A375),"",VLOOKUP(A375,DOI_URL!$B$1:$C$74,2,FALSE()))</f>
        <v/>
      </c>
      <c r="D375" s="8"/>
      <c r="E375" s="8"/>
      <c r="J375" s="8"/>
      <c r="K375" s="8"/>
    </row>
    <row r="376">
      <c r="A376" s="8"/>
      <c r="B376" s="177"/>
      <c r="C376" s="8" t="str">
        <f>IF(ISBLANK(A376),"",VLOOKUP(A376,DOI_URL!$B$1:$C$74,2,FALSE()))</f>
        <v/>
      </c>
      <c r="D376" s="8"/>
      <c r="E376" s="8"/>
      <c r="J376" s="8"/>
      <c r="K376" s="8"/>
    </row>
    <row r="377">
      <c r="A377" s="8"/>
      <c r="B377" s="177"/>
      <c r="C377" s="8" t="str">
        <f>IF(ISBLANK(A377),"",VLOOKUP(A377,DOI_URL!$B$1:$C$74,2,FALSE()))</f>
        <v/>
      </c>
      <c r="D377" s="8"/>
      <c r="E377" s="8"/>
      <c r="J377" s="8"/>
      <c r="K377" s="8"/>
    </row>
    <row r="378">
      <c r="A378" s="8"/>
      <c r="B378" s="177"/>
      <c r="C378" s="8" t="str">
        <f>IF(ISBLANK(A378),"",VLOOKUP(A378,DOI_URL!$B$1:$C$74,2,FALSE()))</f>
        <v/>
      </c>
      <c r="D378" s="8"/>
      <c r="E378" s="8"/>
      <c r="J378" s="8"/>
      <c r="K378" s="8"/>
    </row>
    <row r="379">
      <c r="A379" s="8"/>
      <c r="B379" s="177"/>
      <c r="C379" s="8" t="str">
        <f>IF(ISBLANK(A379),"",VLOOKUP(A379,DOI_URL!$B$1:$C$74,2,FALSE()))</f>
        <v/>
      </c>
      <c r="D379" s="8"/>
      <c r="E379" s="8"/>
      <c r="J379" s="8"/>
      <c r="K379" s="8"/>
    </row>
    <row r="380">
      <c r="A380" s="8"/>
      <c r="B380" s="177"/>
      <c r="C380" s="8" t="str">
        <f>IF(ISBLANK(A380),"",VLOOKUP(A380,DOI_URL!$B$1:$C$74,2,FALSE()))</f>
        <v/>
      </c>
      <c r="D380" s="8"/>
      <c r="E380" s="8"/>
      <c r="J380" s="8"/>
      <c r="K380" s="8"/>
    </row>
    <row r="381">
      <c r="A381" s="8"/>
      <c r="B381" s="177"/>
      <c r="C381" s="8" t="str">
        <f>IF(ISBLANK(A381),"",VLOOKUP(A381,DOI_URL!$B$1:$C$74,2,FALSE()))</f>
        <v/>
      </c>
      <c r="D381" s="8"/>
      <c r="E381" s="8"/>
      <c r="J381" s="8"/>
      <c r="K381" s="8"/>
    </row>
    <row r="382">
      <c r="A382" s="8"/>
      <c r="B382" s="177"/>
      <c r="C382" s="8" t="str">
        <f>IF(ISBLANK(A382),"",VLOOKUP(A382,DOI_URL!$B$1:$C$74,2,FALSE()))</f>
        <v/>
      </c>
      <c r="D382" s="8"/>
      <c r="E382" s="8"/>
      <c r="J382" s="8"/>
      <c r="K382" s="8"/>
    </row>
    <row r="383">
      <c r="A383" s="8"/>
      <c r="B383" s="177"/>
      <c r="C383" s="8" t="str">
        <f>IF(ISBLANK(A383),"",VLOOKUP(A383,DOI_URL!$B$1:$C$74,2,FALSE()))</f>
        <v/>
      </c>
      <c r="D383" s="8"/>
      <c r="E383" s="8"/>
      <c r="J383" s="8"/>
      <c r="K383" s="8"/>
    </row>
    <row r="384">
      <c r="A384" s="8"/>
      <c r="B384" s="177"/>
      <c r="C384" s="8" t="str">
        <f>IF(ISBLANK(A384),"",VLOOKUP(A384,DOI_URL!$B$1:$C$74,2,FALSE()))</f>
        <v/>
      </c>
      <c r="D384" s="8"/>
      <c r="E384" s="8"/>
      <c r="J384" s="8"/>
      <c r="K384" s="8"/>
    </row>
    <row r="385">
      <c r="A385" s="8"/>
      <c r="B385" s="177"/>
      <c r="C385" s="8" t="str">
        <f>IF(ISBLANK(A385),"",VLOOKUP(A385,DOI_URL!$B$1:$C$74,2,FALSE()))</f>
        <v/>
      </c>
      <c r="D385" s="8"/>
      <c r="E385" s="8"/>
      <c r="J385" s="8"/>
      <c r="K385" s="8"/>
    </row>
    <row r="386">
      <c r="A386" s="8"/>
      <c r="B386" s="177"/>
      <c r="C386" s="8" t="str">
        <f>IF(ISBLANK(A386),"",VLOOKUP(A386,DOI_URL!$B$1:$C$74,2,FALSE()))</f>
        <v/>
      </c>
      <c r="D386" s="8"/>
      <c r="E386" s="8"/>
      <c r="J386" s="8"/>
      <c r="K386" s="8"/>
    </row>
    <row r="387">
      <c r="A387" s="8"/>
      <c r="B387" s="177"/>
      <c r="C387" s="8" t="str">
        <f>IF(ISBLANK(A387),"",VLOOKUP(A387,DOI_URL!$B$1:$C$74,2,FALSE()))</f>
        <v/>
      </c>
      <c r="D387" s="8"/>
      <c r="E387" s="8"/>
      <c r="J387" s="8"/>
      <c r="K387" s="8"/>
    </row>
    <row r="388">
      <c r="A388" s="8"/>
      <c r="B388" s="177"/>
      <c r="C388" s="8" t="str">
        <f>IF(ISBLANK(A388),"",VLOOKUP(A388,DOI_URL!$B$1:$C$74,2,FALSE()))</f>
        <v/>
      </c>
      <c r="D388" s="8"/>
      <c r="E388" s="8"/>
      <c r="J388" s="8"/>
      <c r="K388" s="8"/>
    </row>
    <row r="389">
      <c r="A389" s="8"/>
      <c r="B389" s="177"/>
      <c r="C389" s="8" t="str">
        <f>IF(ISBLANK(A389),"",VLOOKUP(A389,DOI_URL!$B$1:$C$74,2,FALSE()))</f>
        <v/>
      </c>
      <c r="D389" s="8"/>
      <c r="E389" s="8"/>
      <c r="J389" s="8"/>
      <c r="K389" s="8"/>
    </row>
    <row r="390">
      <c r="A390" s="8"/>
      <c r="B390" s="177"/>
      <c r="C390" s="8" t="str">
        <f>IF(ISBLANK(A390),"",VLOOKUP(A390,DOI_URL!$B$1:$C$74,2,FALSE()))</f>
        <v/>
      </c>
      <c r="D390" s="8"/>
      <c r="E390" s="8"/>
      <c r="J390" s="8"/>
      <c r="K390" s="8"/>
    </row>
    <row r="391">
      <c r="A391" s="8"/>
      <c r="B391" s="177"/>
      <c r="C391" s="8" t="str">
        <f>IF(ISBLANK(A391),"",VLOOKUP(A391,DOI_URL!$B$1:$C$74,2,FALSE()))</f>
        <v/>
      </c>
      <c r="D391" s="8"/>
      <c r="E391" s="8"/>
      <c r="J391" s="8"/>
      <c r="K391" s="8"/>
    </row>
    <row r="392">
      <c r="A392" s="8"/>
      <c r="B392" s="177"/>
      <c r="C392" s="8" t="str">
        <f>IF(ISBLANK(A392),"",VLOOKUP(A392,DOI_URL!$B$1:$C$74,2,FALSE()))</f>
        <v/>
      </c>
      <c r="D392" s="8"/>
      <c r="E392" s="8"/>
      <c r="J392" s="8"/>
      <c r="K392" s="8"/>
    </row>
    <row r="393">
      <c r="A393" s="8"/>
      <c r="B393" s="177"/>
      <c r="C393" s="8" t="str">
        <f>IF(ISBLANK(A393),"",VLOOKUP(A393,DOI_URL!$B$1:$C$74,2,FALSE()))</f>
        <v/>
      </c>
      <c r="D393" s="8"/>
      <c r="E393" s="8"/>
      <c r="J393" s="8"/>
      <c r="K393" s="8"/>
    </row>
    <row r="394">
      <c r="A394" s="8"/>
      <c r="B394" s="177"/>
      <c r="C394" s="8" t="str">
        <f>IF(ISBLANK(A394),"",VLOOKUP(A394,DOI_URL!$B$1:$C$74,2,FALSE()))</f>
        <v/>
      </c>
      <c r="D394" s="8"/>
      <c r="E394" s="8"/>
      <c r="J394" s="8"/>
      <c r="K394" s="8"/>
    </row>
    <row r="395">
      <c r="A395" s="8"/>
      <c r="B395" s="177"/>
      <c r="C395" s="8" t="str">
        <f>IF(ISBLANK(A395),"",VLOOKUP(A395,DOI_URL!$B$1:$C$74,2,FALSE()))</f>
        <v/>
      </c>
      <c r="D395" s="8"/>
      <c r="E395" s="8"/>
      <c r="J395" s="8"/>
      <c r="K395" s="8"/>
    </row>
    <row r="396">
      <c r="A396" s="8"/>
      <c r="B396" s="177"/>
      <c r="C396" s="8" t="str">
        <f>IF(ISBLANK(A396),"",VLOOKUP(A396,DOI_URL!$B$1:$C$74,2,FALSE()))</f>
        <v/>
      </c>
      <c r="D396" s="8"/>
      <c r="E396" s="8"/>
      <c r="J396" s="8"/>
      <c r="K396" s="8"/>
    </row>
    <row r="397">
      <c r="A397" s="8"/>
      <c r="B397" s="177"/>
      <c r="C397" s="8" t="str">
        <f>IF(ISBLANK(A397),"",VLOOKUP(A397,DOI_URL!$B$1:$C$74,2,FALSE()))</f>
        <v/>
      </c>
      <c r="D397" s="8"/>
      <c r="E397" s="8"/>
      <c r="J397" s="8"/>
      <c r="K397" s="8"/>
    </row>
    <row r="398">
      <c r="A398" s="8"/>
      <c r="B398" s="177"/>
      <c r="C398" s="8" t="str">
        <f>IF(ISBLANK(A398),"",VLOOKUP(A398,DOI_URL!$B$1:$C$74,2,FALSE()))</f>
        <v/>
      </c>
      <c r="D398" s="8"/>
      <c r="E398" s="8"/>
      <c r="J398" s="8"/>
      <c r="K398" s="8"/>
    </row>
    <row r="399">
      <c r="A399" s="8"/>
      <c r="B399" s="177"/>
      <c r="C399" s="8" t="str">
        <f>IF(ISBLANK(A399),"",VLOOKUP(A399,DOI_URL!$B$1:$C$74,2,FALSE()))</f>
        <v/>
      </c>
      <c r="D399" s="8"/>
      <c r="E399" s="8"/>
      <c r="J399" s="8"/>
      <c r="K399" s="8"/>
    </row>
    <row r="400">
      <c r="A400" s="8"/>
      <c r="B400" s="177"/>
      <c r="C400" s="8" t="str">
        <f>IF(ISBLANK(A400),"",VLOOKUP(A400,DOI_URL!$B$1:$C$74,2,FALSE()))</f>
        <v/>
      </c>
      <c r="D400" s="8"/>
      <c r="E400" s="8"/>
      <c r="J400" s="8"/>
      <c r="K400" s="8"/>
    </row>
    <row r="401">
      <c r="A401" s="8"/>
      <c r="B401" s="177"/>
      <c r="C401" s="8" t="str">
        <f>IF(ISBLANK(A401),"",VLOOKUP(A401,DOI_URL!$B$1:$C$74,2,FALSE()))</f>
        <v/>
      </c>
      <c r="D401" s="8"/>
      <c r="E401" s="8"/>
      <c r="J401" s="8"/>
      <c r="K401" s="8"/>
    </row>
    <row r="402">
      <c r="A402" s="8"/>
      <c r="B402" s="177"/>
      <c r="C402" s="8" t="str">
        <f>IF(ISBLANK(A402),"",VLOOKUP(A402,DOI_URL!$B$1:$C$74,2,FALSE()))</f>
        <v/>
      </c>
      <c r="D402" s="8"/>
      <c r="E402" s="8"/>
      <c r="J402" s="8"/>
      <c r="K402" s="8"/>
    </row>
    <row r="403">
      <c r="A403" s="8"/>
      <c r="B403" s="177"/>
      <c r="C403" s="8" t="str">
        <f>IF(ISBLANK(A403),"",VLOOKUP(A403,DOI_URL!$B$1:$C$74,2,FALSE()))</f>
        <v/>
      </c>
      <c r="D403" s="8"/>
      <c r="E403" s="8"/>
      <c r="J403" s="8"/>
      <c r="K403" s="8"/>
    </row>
    <row r="404">
      <c r="A404" s="8"/>
      <c r="B404" s="177"/>
      <c r="C404" s="8" t="str">
        <f>IF(ISBLANK(A404),"",VLOOKUP(A404,DOI_URL!$B$1:$C$74,2,FALSE()))</f>
        <v/>
      </c>
      <c r="D404" s="8"/>
      <c r="E404" s="8"/>
      <c r="J404" s="8"/>
      <c r="K404" s="8"/>
    </row>
    <row r="405">
      <c r="A405" s="8"/>
      <c r="B405" s="177"/>
      <c r="C405" s="8" t="str">
        <f>IF(ISBLANK(A405),"",VLOOKUP(A405,DOI_URL!$B$1:$C$74,2,FALSE()))</f>
        <v/>
      </c>
      <c r="D405" s="8"/>
      <c r="E405" s="8"/>
      <c r="J405" s="8"/>
      <c r="K405" s="8"/>
    </row>
    <row r="406">
      <c r="A406" s="8"/>
      <c r="B406" s="177"/>
      <c r="C406" s="8" t="str">
        <f>IF(ISBLANK(A406),"",VLOOKUP(A406,DOI_URL!$B$1:$C$74,2,FALSE()))</f>
        <v/>
      </c>
      <c r="D406" s="8"/>
      <c r="E406" s="8"/>
      <c r="J406" s="8"/>
      <c r="K406" s="8"/>
    </row>
    <row r="407">
      <c r="A407" s="8"/>
      <c r="B407" s="177"/>
      <c r="C407" s="8" t="str">
        <f>IF(ISBLANK(A407),"",VLOOKUP(A407,DOI_URL!$B$1:$C$74,2,FALSE()))</f>
        <v/>
      </c>
      <c r="D407" s="8"/>
      <c r="E407" s="8"/>
      <c r="J407" s="8"/>
      <c r="K407" s="8"/>
    </row>
    <row r="408">
      <c r="A408" s="8"/>
      <c r="B408" s="177"/>
      <c r="C408" s="8" t="str">
        <f>IF(ISBLANK(A408),"",VLOOKUP(A408,DOI_URL!$B$1:$C$74,2,FALSE()))</f>
        <v/>
      </c>
      <c r="D408" s="8"/>
      <c r="E408" s="8"/>
      <c r="J408" s="8"/>
      <c r="K408" s="8"/>
    </row>
    <row r="409">
      <c r="A409" s="8"/>
      <c r="B409" s="177"/>
      <c r="C409" s="8" t="str">
        <f>IF(ISBLANK(A409),"",VLOOKUP(A409,DOI_URL!$B$1:$C$74,2,FALSE()))</f>
        <v/>
      </c>
      <c r="D409" s="8"/>
      <c r="E409" s="8"/>
      <c r="J409" s="8"/>
      <c r="K409" s="8"/>
    </row>
    <row r="410">
      <c r="A410" s="8"/>
      <c r="B410" s="177"/>
      <c r="C410" s="8" t="str">
        <f>IF(ISBLANK(A410),"",VLOOKUP(A410,DOI_URL!$B$1:$C$74,2,FALSE()))</f>
        <v/>
      </c>
      <c r="D410" s="8"/>
      <c r="E410" s="8"/>
      <c r="J410" s="8"/>
      <c r="K410" s="8"/>
    </row>
    <row r="411">
      <c r="A411" s="8"/>
      <c r="B411" s="177"/>
      <c r="C411" s="8" t="str">
        <f>IF(ISBLANK(A411),"",VLOOKUP(A411,DOI_URL!$B$1:$C$74,2,FALSE()))</f>
        <v/>
      </c>
      <c r="D411" s="8"/>
      <c r="E411" s="8"/>
      <c r="J411" s="8"/>
      <c r="K411" s="8"/>
    </row>
    <row r="412">
      <c r="A412" s="8"/>
      <c r="B412" s="177"/>
      <c r="C412" s="8" t="str">
        <f>IF(ISBLANK(A412),"",VLOOKUP(A412,DOI_URL!$B$1:$C$74,2,FALSE()))</f>
        <v/>
      </c>
      <c r="D412" s="8"/>
      <c r="E412" s="8"/>
      <c r="J412" s="8"/>
      <c r="K412" s="8"/>
    </row>
    <row r="413">
      <c r="A413" s="8"/>
      <c r="B413" s="177"/>
      <c r="C413" s="8" t="str">
        <f>IF(ISBLANK(A413),"",VLOOKUP(A413,DOI_URL!$B$1:$C$74,2,FALSE()))</f>
        <v/>
      </c>
      <c r="D413" s="8"/>
      <c r="E413" s="8"/>
      <c r="J413" s="8"/>
      <c r="K413" s="8"/>
    </row>
    <row r="414">
      <c r="A414" s="8"/>
      <c r="B414" s="177"/>
      <c r="C414" s="8" t="str">
        <f>IF(ISBLANK(A414),"",VLOOKUP(A414,DOI_URL!$B$1:$C$74,2,FALSE()))</f>
        <v/>
      </c>
      <c r="D414" s="8"/>
      <c r="E414" s="8"/>
      <c r="J414" s="8"/>
      <c r="K414" s="8"/>
    </row>
    <row r="415">
      <c r="A415" s="8"/>
      <c r="B415" s="177"/>
      <c r="C415" s="8" t="str">
        <f>IF(ISBLANK(A415),"",VLOOKUP(A415,DOI_URL!$B$1:$C$74,2,FALSE()))</f>
        <v/>
      </c>
      <c r="D415" s="8"/>
      <c r="E415" s="8"/>
      <c r="J415" s="8"/>
      <c r="K415" s="8"/>
    </row>
    <row r="416">
      <c r="A416" s="8"/>
      <c r="B416" s="177"/>
      <c r="C416" s="8" t="str">
        <f>IF(ISBLANK(A416),"",VLOOKUP(A416,DOI_URL!$B$1:$C$74,2,FALSE()))</f>
        <v/>
      </c>
      <c r="D416" s="8"/>
      <c r="E416" s="8"/>
      <c r="J416" s="8"/>
      <c r="K416" s="8"/>
    </row>
    <row r="417">
      <c r="A417" s="8"/>
      <c r="B417" s="177"/>
      <c r="C417" s="8" t="str">
        <f>IF(ISBLANK(A417),"",VLOOKUP(A417,DOI_URL!$B$1:$C$74,2,FALSE()))</f>
        <v/>
      </c>
      <c r="D417" s="8"/>
      <c r="E417" s="8"/>
      <c r="J417" s="8"/>
      <c r="K417" s="8"/>
    </row>
    <row r="418">
      <c r="A418" s="8"/>
      <c r="B418" s="177"/>
      <c r="C418" s="8" t="str">
        <f>IF(ISBLANK(A418),"",VLOOKUP(A418,DOI_URL!$B$1:$C$74,2,FALSE()))</f>
        <v/>
      </c>
      <c r="D418" s="8"/>
      <c r="E418" s="8"/>
      <c r="J418" s="8"/>
      <c r="K418" s="8"/>
    </row>
    <row r="419">
      <c r="A419" s="8"/>
      <c r="B419" s="177"/>
      <c r="C419" s="8" t="str">
        <f>IF(ISBLANK(A419),"",VLOOKUP(A419,DOI_URL!$B$1:$C$74,2,FALSE()))</f>
        <v/>
      </c>
      <c r="D419" s="8"/>
      <c r="E419" s="8"/>
      <c r="J419" s="8"/>
      <c r="K419" s="8"/>
    </row>
    <row r="420">
      <c r="A420" s="8"/>
      <c r="B420" s="177"/>
      <c r="C420" s="8" t="str">
        <f>IF(ISBLANK(A420),"",VLOOKUP(A420,DOI_URL!$B$1:$C$74,2,FALSE()))</f>
        <v/>
      </c>
      <c r="D420" s="8"/>
      <c r="E420" s="8"/>
      <c r="J420" s="8"/>
      <c r="K420" s="8"/>
    </row>
    <row r="421">
      <c r="A421" s="8"/>
      <c r="B421" s="177"/>
      <c r="C421" s="8" t="str">
        <f>IF(ISBLANK(A421),"",VLOOKUP(A421,DOI_URL!$B$1:$C$74,2,FALSE()))</f>
        <v/>
      </c>
      <c r="D421" s="8"/>
      <c r="E421" s="8"/>
      <c r="J421" s="8"/>
      <c r="K421" s="8"/>
    </row>
    <row r="422">
      <c r="A422" s="8"/>
      <c r="B422" s="177"/>
      <c r="C422" s="8" t="str">
        <f>IF(ISBLANK(A422),"",VLOOKUP(A422,DOI_URL!$B$1:$C$74,2,FALSE()))</f>
        <v/>
      </c>
      <c r="D422" s="8"/>
      <c r="E422" s="8"/>
      <c r="J422" s="8"/>
      <c r="K422" s="8"/>
    </row>
    <row r="423">
      <c r="A423" s="8"/>
      <c r="B423" s="177"/>
      <c r="C423" s="8" t="str">
        <f>IF(ISBLANK(A423),"",VLOOKUP(A423,DOI_URL!$B$1:$C$74,2,FALSE()))</f>
        <v/>
      </c>
      <c r="D423" s="8"/>
      <c r="E423" s="8"/>
      <c r="J423" s="8"/>
      <c r="K423" s="8"/>
    </row>
    <row r="424">
      <c r="A424" s="8"/>
      <c r="B424" s="177"/>
      <c r="C424" s="8" t="str">
        <f>IF(ISBLANK(A424),"",VLOOKUP(A424,DOI_URL!$B$1:$C$74,2,FALSE()))</f>
        <v/>
      </c>
      <c r="D424" s="8"/>
      <c r="E424" s="8"/>
      <c r="J424" s="8"/>
      <c r="K424" s="8"/>
    </row>
    <row r="425">
      <c r="A425" s="8"/>
      <c r="B425" s="177"/>
      <c r="C425" s="8" t="str">
        <f>IF(ISBLANK(A425),"",VLOOKUP(A425,DOI_URL!$B$1:$C$74,2,FALSE()))</f>
        <v/>
      </c>
      <c r="D425" s="8"/>
      <c r="E425" s="8"/>
      <c r="J425" s="8"/>
      <c r="K425" s="8"/>
    </row>
    <row r="426">
      <c r="A426" s="8"/>
      <c r="B426" s="177"/>
      <c r="C426" s="8" t="str">
        <f>IF(ISBLANK(A426),"",VLOOKUP(A426,DOI_URL!$B$1:$C$74,2,FALSE()))</f>
        <v/>
      </c>
      <c r="D426" s="8"/>
      <c r="E426" s="8"/>
      <c r="J426" s="8"/>
      <c r="K426" s="8"/>
    </row>
    <row r="427">
      <c r="A427" s="8"/>
      <c r="B427" s="177"/>
      <c r="C427" s="8" t="str">
        <f>IF(ISBLANK(A427),"",VLOOKUP(A427,DOI_URL!$B$1:$C$74,2,FALSE()))</f>
        <v/>
      </c>
      <c r="D427" s="8"/>
      <c r="E427" s="8"/>
      <c r="J427" s="8"/>
      <c r="K427" s="8"/>
    </row>
    <row r="428">
      <c r="A428" s="8"/>
      <c r="B428" s="177"/>
      <c r="C428" s="8" t="str">
        <f>IF(ISBLANK(A428),"",VLOOKUP(A428,DOI_URL!$B$1:$C$74,2,FALSE()))</f>
        <v/>
      </c>
      <c r="D428" s="8"/>
      <c r="E428" s="8"/>
      <c r="J428" s="8"/>
      <c r="K428" s="8"/>
    </row>
    <row r="429">
      <c r="A429" s="8"/>
      <c r="B429" s="177"/>
      <c r="C429" s="8" t="str">
        <f>IF(ISBLANK(A429),"",VLOOKUP(A429,DOI_URL!$B$1:$C$74,2,FALSE()))</f>
        <v/>
      </c>
      <c r="D429" s="8"/>
      <c r="E429" s="8"/>
      <c r="J429" s="8"/>
      <c r="K429" s="8"/>
    </row>
    <row r="430">
      <c r="A430" s="8"/>
      <c r="B430" s="177"/>
      <c r="C430" s="8" t="str">
        <f>IF(ISBLANK(A430),"",VLOOKUP(A430,DOI_URL!$B$1:$C$74,2,FALSE()))</f>
        <v/>
      </c>
      <c r="D430" s="8"/>
      <c r="E430" s="8"/>
      <c r="J430" s="8"/>
      <c r="K430" s="8"/>
    </row>
    <row r="431">
      <c r="A431" s="8"/>
      <c r="B431" s="177"/>
      <c r="C431" s="8" t="str">
        <f>IF(ISBLANK(A431),"",VLOOKUP(A431,DOI_URL!$B$1:$C$74,2,FALSE()))</f>
        <v/>
      </c>
      <c r="D431" s="8"/>
      <c r="E431" s="8"/>
      <c r="J431" s="8"/>
      <c r="K431" s="8"/>
    </row>
    <row r="432">
      <c r="A432" s="8"/>
      <c r="B432" s="177"/>
      <c r="C432" s="8" t="str">
        <f>IF(ISBLANK(A432),"",VLOOKUP(A432,DOI_URL!$B$1:$C$74,2,FALSE()))</f>
        <v/>
      </c>
      <c r="D432" s="8"/>
      <c r="E432" s="8"/>
      <c r="J432" s="8"/>
      <c r="K432" s="8"/>
    </row>
    <row r="433">
      <c r="A433" s="8"/>
      <c r="B433" s="177"/>
      <c r="C433" s="8" t="str">
        <f>IF(ISBLANK(A433),"",VLOOKUP(A433,DOI_URL!$B$1:$C$74,2,FALSE()))</f>
        <v/>
      </c>
      <c r="D433" s="8"/>
      <c r="E433" s="8"/>
      <c r="J433" s="8"/>
      <c r="K433" s="8"/>
    </row>
    <row r="434">
      <c r="A434" s="8"/>
      <c r="B434" s="177"/>
      <c r="C434" s="8" t="str">
        <f>IF(ISBLANK(A434),"",VLOOKUP(A434,DOI_URL!$B$1:$C$74,2,FALSE()))</f>
        <v/>
      </c>
      <c r="D434" s="8"/>
      <c r="E434" s="8"/>
      <c r="J434" s="8"/>
      <c r="K434" s="8"/>
    </row>
    <row r="435">
      <c r="A435" s="8"/>
      <c r="B435" s="177"/>
      <c r="C435" s="8" t="str">
        <f>IF(ISBLANK(A435),"",VLOOKUP(A435,DOI_URL!$B$1:$C$74,2,FALSE()))</f>
        <v/>
      </c>
      <c r="D435" s="8"/>
      <c r="E435" s="8"/>
      <c r="J435" s="8"/>
      <c r="K435" s="8"/>
    </row>
    <row r="436">
      <c r="A436" s="8"/>
      <c r="B436" s="177"/>
      <c r="C436" s="8" t="str">
        <f>IF(ISBLANK(A436),"",VLOOKUP(A436,DOI_URL!$B$1:$C$74,2,FALSE()))</f>
        <v/>
      </c>
      <c r="D436" s="8"/>
      <c r="E436" s="8"/>
      <c r="J436" s="8"/>
      <c r="K436" s="8"/>
    </row>
    <row r="437">
      <c r="A437" s="8"/>
      <c r="B437" s="177"/>
      <c r="C437" s="8" t="str">
        <f>IF(ISBLANK(A437),"",VLOOKUP(A437,DOI_URL!$B$1:$C$74,2,FALSE()))</f>
        <v/>
      </c>
      <c r="D437" s="8"/>
      <c r="E437" s="8"/>
      <c r="J437" s="8"/>
      <c r="K437" s="8"/>
    </row>
    <row r="438">
      <c r="A438" s="8"/>
      <c r="B438" s="177"/>
      <c r="C438" s="8" t="str">
        <f>IF(ISBLANK(A438),"",VLOOKUP(A438,DOI_URL!$B$1:$C$74,2,FALSE()))</f>
        <v/>
      </c>
      <c r="D438" s="8"/>
      <c r="E438" s="8"/>
      <c r="J438" s="8"/>
      <c r="K438" s="8"/>
    </row>
    <row r="439">
      <c r="A439" s="8"/>
      <c r="B439" s="177"/>
      <c r="C439" s="8" t="str">
        <f>IF(ISBLANK(A439),"",VLOOKUP(A439,DOI_URL!$B$1:$C$74,2,FALSE()))</f>
        <v/>
      </c>
      <c r="D439" s="8"/>
      <c r="E439" s="8"/>
      <c r="J439" s="8"/>
      <c r="K439" s="8"/>
    </row>
    <row r="440">
      <c r="A440" s="8"/>
      <c r="B440" s="177"/>
      <c r="C440" s="8" t="str">
        <f>IF(ISBLANK(A440),"",VLOOKUP(A440,DOI_URL!$B$1:$C$74,2,FALSE()))</f>
        <v/>
      </c>
      <c r="D440" s="8"/>
      <c r="E440" s="8"/>
      <c r="J440" s="8"/>
      <c r="K440" s="8"/>
    </row>
    <row r="441">
      <c r="A441" s="8"/>
      <c r="B441" s="177"/>
      <c r="C441" s="8" t="str">
        <f>IF(ISBLANK(A441),"",VLOOKUP(A441,DOI_URL!$B$1:$C$74,2,FALSE()))</f>
        <v/>
      </c>
      <c r="D441" s="8"/>
      <c r="E441" s="8"/>
      <c r="J441" s="8"/>
      <c r="K441" s="8"/>
    </row>
    <row r="442">
      <c r="A442" s="8"/>
      <c r="B442" s="177"/>
      <c r="C442" s="8" t="str">
        <f>IF(ISBLANK(A442),"",VLOOKUP(A442,DOI_URL!$B$1:$C$74,2,FALSE()))</f>
        <v/>
      </c>
      <c r="D442" s="8"/>
      <c r="E442" s="8"/>
      <c r="J442" s="8"/>
      <c r="K442" s="8"/>
    </row>
    <row r="443">
      <c r="A443" s="8"/>
      <c r="B443" s="177"/>
      <c r="C443" s="8" t="str">
        <f>IF(ISBLANK(A443),"",VLOOKUP(A443,DOI_URL!$B$1:$C$74,2,FALSE()))</f>
        <v/>
      </c>
      <c r="D443" s="8"/>
      <c r="E443" s="8"/>
      <c r="J443" s="8"/>
      <c r="K443" s="8"/>
    </row>
    <row r="444">
      <c r="A444" s="8"/>
      <c r="B444" s="177"/>
      <c r="C444" s="8" t="str">
        <f>IF(ISBLANK(A444),"",VLOOKUP(A444,DOI_URL!$B$1:$C$74,2,FALSE()))</f>
        <v/>
      </c>
      <c r="D444" s="8"/>
      <c r="E444" s="8"/>
      <c r="J444" s="8"/>
      <c r="K444" s="8"/>
    </row>
    <row r="445">
      <c r="A445" s="8"/>
      <c r="B445" s="177"/>
      <c r="C445" s="8" t="str">
        <f>IF(ISBLANK(A445),"",VLOOKUP(A445,DOI_URL!$B$1:$C$74,2,FALSE()))</f>
        <v/>
      </c>
      <c r="D445" s="8"/>
      <c r="E445" s="8"/>
      <c r="J445" s="8"/>
      <c r="K445" s="8"/>
    </row>
    <row r="446">
      <c r="A446" s="8"/>
      <c r="B446" s="177"/>
      <c r="C446" s="8" t="str">
        <f>IF(ISBLANK(A446),"",VLOOKUP(A446,DOI_URL!$B$1:$C$74,2,FALSE()))</f>
        <v/>
      </c>
      <c r="D446" s="8"/>
      <c r="E446" s="8"/>
      <c r="J446" s="8"/>
      <c r="K446" s="8"/>
    </row>
    <row r="447">
      <c r="A447" s="8"/>
      <c r="B447" s="177"/>
      <c r="C447" s="8" t="str">
        <f>IF(ISBLANK(A447),"",VLOOKUP(A447,DOI_URL!$B$1:$C$74,2,FALSE()))</f>
        <v/>
      </c>
      <c r="D447" s="8"/>
      <c r="E447" s="8"/>
      <c r="J447" s="8"/>
      <c r="K447" s="8"/>
    </row>
    <row r="448">
      <c r="A448" s="8"/>
      <c r="B448" s="177"/>
      <c r="C448" s="8" t="str">
        <f>IF(ISBLANK(A448),"",VLOOKUP(A448,DOI_URL!$B$1:$C$74,2,FALSE()))</f>
        <v/>
      </c>
      <c r="D448" s="8"/>
      <c r="E448" s="8"/>
      <c r="J448" s="8"/>
      <c r="K448" s="8"/>
    </row>
    <row r="449">
      <c r="A449" s="8"/>
      <c r="B449" s="177"/>
      <c r="C449" s="8" t="str">
        <f>IF(ISBLANK(A449),"",VLOOKUP(A449,DOI_URL!$B$1:$C$74,2,FALSE()))</f>
        <v/>
      </c>
      <c r="D449" s="8"/>
      <c r="E449" s="8"/>
      <c r="J449" s="8"/>
      <c r="K449" s="8"/>
    </row>
    <row r="450">
      <c r="A450" s="8"/>
      <c r="B450" s="177"/>
      <c r="C450" s="8" t="str">
        <f>IF(ISBLANK(A450),"",VLOOKUP(A450,DOI_URL!$B$1:$C$74,2,FALSE()))</f>
        <v/>
      </c>
      <c r="D450" s="8"/>
      <c r="E450" s="8"/>
      <c r="J450" s="8"/>
      <c r="K450" s="8"/>
    </row>
    <row r="451">
      <c r="A451" s="8"/>
      <c r="B451" s="177"/>
      <c r="C451" s="8" t="str">
        <f>IF(ISBLANK(A451),"",VLOOKUP(A451,DOI_URL!$B$1:$C$74,2,FALSE()))</f>
        <v/>
      </c>
      <c r="D451" s="8"/>
      <c r="E451" s="8"/>
      <c r="J451" s="8"/>
      <c r="K451" s="8"/>
    </row>
    <row r="452">
      <c r="A452" s="8"/>
      <c r="B452" s="177"/>
      <c r="C452" s="8" t="str">
        <f>IF(ISBLANK(A452),"",VLOOKUP(A452,DOI_URL!$B$1:$C$74,2,FALSE()))</f>
        <v/>
      </c>
      <c r="D452" s="8"/>
      <c r="E452" s="8"/>
      <c r="J452" s="8"/>
      <c r="K452" s="8"/>
    </row>
    <row r="453">
      <c r="A453" s="8"/>
      <c r="B453" s="177"/>
      <c r="C453" s="8" t="str">
        <f>IF(ISBLANK(A453),"",VLOOKUP(A453,DOI_URL!$B$1:$C$74,2,FALSE()))</f>
        <v/>
      </c>
      <c r="D453" s="8"/>
      <c r="E453" s="8"/>
      <c r="J453" s="8"/>
      <c r="K453" s="8"/>
    </row>
    <row r="454">
      <c r="A454" s="8"/>
      <c r="B454" s="177"/>
      <c r="C454" s="8" t="str">
        <f>IF(ISBLANK(A454),"",VLOOKUP(A454,DOI_URL!$B$1:$C$74,2,FALSE()))</f>
        <v/>
      </c>
      <c r="D454" s="8"/>
      <c r="E454" s="8"/>
      <c r="J454" s="8"/>
      <c r="K454" s="8"/>
    </row>
    <row r="455">
      <c r="A455" s="8"/>
      <c r="B455" s="177"/>
      <c r="C455" s="8" t="str">
        <f>IF(ISBLANK(A455),"",VLOOKUP(A455,DOI_URL!$B$1:$C$74,2,FALSE()))</f>
        <v/>
      </c>
      <c r="D455" s="8"/>
      <c r="E455" s="8"/>
      <c r="J455" s="8"/>
      <c r="K455" s="8"/>
    </row>
    <row r="456">
      <c r="A456" s="8"/>
      <c r="B456" s="177"/>
      <c r="C456" s="8" t="str">
        <f>IF(ISBLANK(A456),"",VLOOKUP(A456,DOI_URL!$B$1:$C$74,2,FALSE()))</f>
        <v/>
      </c>
      <c r="D456" s="8"/>
      <c r="E456" s="8"/>
      <c r="J456" s="8"/>
      <c r="K456" s="8"/>
    </row>
    <row r="457">
      <c r="A457" s="8"/>
      <c r="B457" s="177"/>
      <c r="C457" s="8" t="str">
        <f>IF(ISBLANK(A457),"",VLOOKUP(A457,DOI_URL!$B$1:$C$74,2,FALSE()))</f>
        <v/>
      </c>
      <c r="D457" s="8"/>
      <c r="E457" s="8"/>
      <c r="J457" s="8"/>
      <c r="K457" s="8"/>
    </row>
    <row r="458">
      <c r="A458" s="8"/>
      <c r="B458" s="177"/>
      <c r="C458" s="8" t="str">
        <f>IF(ISBLANK(A458),"",VLOOKUP(A458,DOI_URL!$B$1:$C$74,2,FALSE()))</f>
        <v/>
      </c>
      <c r="D458" s="8"/>
      <c r="E458" s="8"/>
      <c r="J458" s="8"/>
      <c r="K458" s="8"/>
    </row>
    <row r="459">
      <c r="A459" s="8"/>
      <c r="B459" s="177"/>
      <c r="C459" s="8" t="str">
        <f>IF(ISBLANK(A459),"",VLOOKUP(A459,DOI_URL!$B$1:$C$74,2,FALSE()))</f>
        <v/>
      </c>
      <c r="D459" s="8"/>
      <c r="E459" s="8"/>
      <c r="J459" s="8"/>
      <c r="K459" s="8"/>
    </row>
    <row r="460">
      <c r="A460" s="8"/>
      <c r="B460" s="177"/>
      <c r="C460" s="8" t="str">
        <f>IF(ISBLANK(A460),"",VLOOKUP(A460,DOI_URL!$B$1:$C$74,2,FALSE()))</f>
        <v/>
      </c>
      <c r="D460" s="8"/>
      <c r="E460" s="8"/>
      <c r="J460" s="8"/>
      <c r="K460" s="8"/>
    </row>
    <row r="461">
      <c r="A461" s="8"/>
      <c r="B461" s="177"/>
      <c r="C461" s="8" t="str">
        <f>IF(ISBLANK(A461),"",VLOOKUP(A461,DOI_URL!$B$1:$C$74,2,FALSE()))</f>
        <v/>
      </c>
      <c r="D461" s="8"/>
      <c r="E461" s="8"/>
      <c r="J461" s="8"/>
      <c r="K461" s="8"/>
    </row>
    <row r="462">
      <c r="A462" s="8"/>
      <c r="B462" s="177"/>
      <c r="C462" s="8" t="str">
        <f>IF(ISBLANK(A462),"",VLOOKUP(A462,DOI_URL!$B$1:$C$74,2,FALSE()))</f>
        <v/>
      </c>
      <c r="D462" s="8"/>
      <c r="E462" s="8"/>
      <c r="J462" s="8"/>
      <c r="K462" s="8"/>
    </row>
    <row r="463">
      <c r="A463" s="8"/>
      <c r="B463" s="177"/>
      <c r="C463" s="8" t="str">
        <f>IF(ISBLANK(A463),"",VLOOKUP(A463,DOI_URL!$B$1:$C$74,2,FALSE()))</f>
        <v/>
      </c>
      <c r="D463" s="8"/>
      <c r="E463" s="8"/>
      <c r="J463" s="8"/>
      <c r="K463" s="8"/>
    </row>
    <row r="464">
      <c r="A464" s="8"/>
      <c r="B464" s="177"/>
      <c r="C464" s="8" t="str">
        <f>IF(ISBLANK(A464),"",VLOOKUP(A464,DOI_URL!$B$1:$C$74,2,FALSE()))</f>
        <v/>
      </c>
      <c r="D464" s="8"/>
      <c r="E464" s="8"/>
      <c r="J464" s="8"/>
      <c r="K464" s="8"/>
    </row>
    <row r="465">
      <c r="A465" s="8"/>
      <c r="B465" s="177"/>
      <c r="C465" s="8" t="str">
        <f>IF(ISBLANK(A465),"",VLOOKUP(A465,DOI_URL!$B$1:$C$74,2,FALSE()))</f>
        <v/>
      </c>
      <c r="D465" s="8"/>
      <c r="E465" s="8"/>
      <c r="J465" s="8"/>
      <c r="K465" s="8"/>
    </row>
    <row r="466">
      <c r="A466" s="8"/>
      <c r="B466" s="177"/>
      <c r="C466" s="8" t="str">
        <f>IF(ISBLANK(A466),"",VLOOKUP(A466,DOI_URL!$B$1:$C$74,2,FALSE()))</f>
        <v/>
      </c>
      <c r="D466" s="8"/>
      <c r="E466" s="8"/>
      <c r="J466" s="8"/>
      <c r="K466" s="8"/>
    </row>
    <row r="467">
      <c r="A467" s="8"/>
      <c r="B467" s="177"/>
      <c r="C467" s="8" t="str">
        <f>IF(ISBLANK(A467),"",VLOOKUP(A467,DOI_URL!$B$1:$C$74,2,FALSE()))</f>
        <v/>
      </c>
      <c r="D467" s="8"/>
      <c r="E467" s="8"/>
      <c r="J467" s="8"/>
      <c r="K467" s="8"/>
    </row>
    <row r="468">
      <c r="A468" s="8"/>
      <c r="B468" s="177"/>
      <c r="C468" s="8" t="str">
        <f>IF(ISBLANK(A468),"",VLOOKUP(A468,DOI_URL!$B$1:$C$74,2,FALSE()))</f>
        <v/>
      </c>
      <c r="D468" s="8"/>
      <c r="E468" s="8"/>
      <c r="J468" s="8"/>
      <c r="K468" s="8"/>
    </row>
    <row r="469">
      <c r="A469" s="8"/>
      <c r="B469" s="177"/>
      <c r="C469" s="8" t="str">
        <f>IF(ISBLANK(A469),"",VLOOKUP(A469,DOI_URL!$B$1:$C$74,2,FALSE()))</f>
        <v/>
      </c>
      <c r="D469" s="8"/>
      <c r="E469" s="8"/>
      <c r="J469" s="8"/>
      <c r="K469" s="8"/>
    </row>
    <row r="470">
      <c r="A470" s="8"/>
      <c r="B470" s="177"/>
      <c r="C470" s="8" t="str">
        <f>IF(ISBLANK(A470),"",VLOOKUP(A470,DOI_URL!$B$1:$C$74,2,FALSE()))</f>
        <v/>
      </c>
      <c r="D470" s="8"/>
      <c r="E470" s="8"/>
      <c r="J470" s="8"/>
      <c r="K470" s="8"/>
    </row>
    <row r="471">
      <c r="A471" s="8"/>
      <c r="B471" s="177"/>
      <c r="C471" s="8" t="str">
        <f>IF(ISBLANK(A471),"",VLOOKUP(A471,DOI_URL!$B$1:$C$74,2,FALSE()))</f>
        <v/>
      </c>
      <c r="D471" s="8"/>
      <c r="E471" s="8"/>
      <c r="J471" s="8"/>
      <c r="K471" s="8"/>
    </row>
    <row r="472">
      <c r="A472" s="8"/>
      <c r="B472" s="177"/>
      <c r="C472" s="8" t="str">
        <f>IF(ISBLANK(A472),"",VLOOKUP(A472,DOI_URL!$B$1:$C$74,2,FALSE()))</f>
        <v/>
      </c>
      <c r="D472" s="8"/>
      <c r="E472" s="8"/>
      <c r="J472" s="8"/>
      <c r="K472" s="8"/>
    </row>
    <row r="473">
      <c r="A473" s="8"/>
      <c r="B473" s="177"/>
      <c r="C473" s="8" t="str">
        <f>IF(ISBLANK(A473),"",VLOOKUP(A473,DOI_URL!$B$1:$C$74,2,FALSE()))</f>
        <v/>
      </c>
      <c r="D473" s="8"/>
      <c r="E473" s="8"/>
      <c r="J473" s="8"/>
      <c r="K473" s="8"/>
    </row>
    <row r="474">
      <c r="A474" s="8"/>
      <c r="B474" s="177"/>
      <c r="C474" s="8" t="str">
        <f>IF(ISBLANK(A474),"",VLOOKUP(A474,DOI_URL!$B$1:$C$74,2,FALSE()))</f>
        <v/>
      </c>
      <c r="D474" s="8"/>
      <c r="E474" s="8"/>
      <c r="J474" s="8"/>
      <c r="K474" s="8"/>
    </row>
    <row r="475">
      <c r="A475" s="8"/>
      <c r="B475" s="177"/>
      <c r="C475" s="8" t="str">
        <f>IF(ISBLANK(A475),"",VLOOKUP(A475,DOI_URL!$B$1:$C$74,2,FALSE()))</f>
        <v/>
      </c>
      <c r="D475" s="8"/>
      <c r="E475" s="8"/>
      <c r="J475" s="8"/>
      <c r="K475" s="8"/>
    </row>
    <row r="476">
      <c r="A476" s="8"/>
      <c r="B476" s="177"/>
      <c r="C476" s="8" t="str">
        <f>IF(ISBLANK(A476),"",VLOOKUP(A476,DOI_URL!$B$1:$C$74,2,FALSE()))</f>
        <v/>
      </c>
      <c r="D476" s="8"/>
      <c r="E476" s="8"/>
      <c r="J476" s="8"/>
      <c r="K476" s="8"/>
    </row>
    <row r="477">
      <c r="A477" s="8"/>
      <c r="B477" s="177"/>
      <c r="C477" s="8" t="str">
        <f>IF(ISBLANK(A477),"",VLOOKUP(A477,DOI_URL!$B$1:$C$74,2,FALSE()))</f>
        <v/>
      </c>
      <c r="D477" s="8"/>
      <c r="E477" s="8"/>
      <c r="J477" s="8"/>
      <c r="K477" s="8"/>
    </row>
    <row r="478">
      <c r="A478" s="8"/>
      <c r="B478" s="177"/>
      <c r="C478" s="8" t="str">
        <f>IF(ISBLANK(A478),"",VLOOKUP(A478,DOI_URL!$B$1:$C$74,2,FALSE()))</f>
        <v/>
      </c>
      <c r="D478" s="8"/>
      <c r="E478" s="8"/>
      <c r="J478" s="8"/>
      <c r="K478" s="8"/>
    </row>
    <row r="479">
      <c r="A479" s="8"/>
      <c r="B479" s="177"/>
      <c r="C479" s="8" t="str">
        <f>IF(ISBLANK(A479),"",VLOOKUP(A479,DOI_URL!$B$1:$C$74,2,FALSE()))</f>
        <v/>
      </c>
      <c r="D479" s="8"/>
      <c r="E479" s="8"/>
      <c r="J479" s="8"/>
      <c r="K479" s="8"/>
    </row>
    <row r="480">
      <c r="A480" s="8"/>
      <c r="B480" s="177"/>
      <c r="C480" s="8" t="str">
        <f>IF(ISBLANK(A480),"",VLOOKUP(A480,DOI_URL!$B$1:$C$74,2,FALSE()))</f>
        <v/>
      </c>
      <c r="D480" s="8"/>
      <c r="E480" s="8"/>
      <c r="J480" s="8"/>
      <c r="K480" s="8"/>
    </row>
    <row r="481">
      <c r="A481" s="8"/>
      <c r="B481" s="177"/>
      <c r="C481" s="8" t="str">
        <f>IF(ISBLANK(A481),"",VLOOKUP(A481,DOI_URL!$B$1:$C$74,2,FALSE()))</f>
        <v/>
      </c>
      <c r="D481" s="8"/>
      <c r="E481" s="8"/>
      <c r="J481" s="8"/>
      <c r="K481" s="8"/>
    </row>
    <row r="482">
      <c r="A482" s="8"/>
      <c r="B482" s="177"/>
      <c r="C482" s="8" t="str">
        <f>IF(ISBLANK(A482),"",VLOOKUP(A482,DOI_URL!$B$1:$C$74,2,FALSE()))</f>
        <v/>
      </c>
      <c r="D482" s="8"/>
      <c r="E482" s="8"/>
      <c r="J482" s="8"/>
      <c r="K482" s="8"/>
    </row>
    <row r="483">
      <c r="A483" s="8"/>
      <c r="B483" s="177"/>
      <c r="C483" s="8" t="str">
        <f>IF(ISBLANK(A483),"",VLOOKUP(A483,DOI_URL!$B$1:$C$74,2,FALSE()))</f>
        <v/>
      </c>
      <c r="D483" s="8"/>
      <c r="E483" s="8"/>
      <c r="J483" s="8"/>
      <c r="K483" s="8"/>
    </row>
    <row r="484">
      <c r="A484" s="8"/>
      <c r="B484" s="177"/>
      <c r="C484" s="8" t="str">
        <f>IF(ISBLANK(A484),"",VLOOKUP(A484,DOI_URL!$B$1:$C$74,2,FALSE()))</f>
        <v/>
      </c>
      <c r="D484" s="8"/>
      <c r="E484" s="8"/>
      <c r="J484" s="8"/>
      <c r="K484" s="8"/>
    </row>
    <row r="485">
      <c r="A485" s="8"/>
      <c r="B485" s="177"/>
      <c r="C485" s="8" t="str">
        <f>IF(ISBLANK(A485),"",VLOOKUP(A485,DOI_URL!$B$1:$C$74,2,FALSE()))</f>
        <v/>
      </c>
      <c r="D485" s="8"/>
      <c r="E485" s="8"/>
      <c r="J485" s="8"/>
      <c r="K485" s="8"/>
    </row>
    <row r="486">
      <c r="A486" s="8"/>
      <c r="B486" s="177"/>
      <c r="C486" s="8" t="str">
        <f>IF(ISBLANK(A486),"",VLOOKUP(A486,DOI_URL!$B$1:$C$74,2,FALSE()))</f>
        <v/>
      </c>
      <c r="D486" s="8"/>
      <c r="E486" s="8"/>
      <c r="J486" s="8"/>
      <c r="K486" s="8"/>
    </row>
    <row r="487">
      <c r="A487" s="8"/>
      <c r="B487" s="177"/>
      <c r="C487" s="8" t="str">
        <f>IF(ISBLANK(A487),"",VLOOKUP(A487,DOI_URL!$B$1:$C$74,2,FALSE()))</f>
        <v/>
      </c>
      <c r="D487" s="8"/>
      <c r="E487" s="8"/>
      <c r="J487" s="8"/>
      <c r="K487" s="8"/>
    </row>
    <row r="488">
      <c r="A488" s="8"/>
      <c r="B488" s="177"/>
      <c r="C488" s="8" t="str">
        <f>IF(ISBLANK(A488),"",VLOOKUP(A488,DOI_URL!$B$1:$C$74,2,FALSE()))</f>
        <v/>
      </c>
      <c r="D488" s="8"/>
      <c r="E488" s="8"/>
      <c r="J488" s="8"/>
      <c r="K488" s="8"/>
    </row>
    <row r="489">
      <c r="A489" s="8"/>
      <c r="B489" s="177"/>
      <c r="C489" s="8" t="str">
        <f>IF(ISBLANK(A489),"",VLOOKUP(A489,DOI_URL!$B$1:$C$74,2,FALSE()))</f>
        <v/>
      </c>
      <c r="D489" s="8"/>
      <c r="E489" s="8"/>
      <c r="J489" s="8"/>
      <c r="K489" s="8"/>
    </row>
    <row r="490">
      <c r="A490" s="8"/>
      <c r="B490" s="177"/>
      <c r="C490" s="8" t="str">
        <f>IF(ISBLANK(A490),"",VLOOKUP(A490,DOI_URL!$B$1:$C$74,2,FALSE()))</f>
        <v/>
      </c>
      <c r="D490" s="8"/>
      <c r="E490" s="8"/>
      <c r="J490" s="8"/>
      <c r="K490" s="8"/>
    </row>
    <row r="491">
      <c r="A491" s="8"/>
      <c r="B491" s="177"/>
      <c r="C491" s="8" t="str">
        <f>IF(ISBLANK(A491),"",VLOOKUP(A491,DOI_URL!$B$1:$C$74,2,FALSE()))</f>
        <v/>
      </c>
      <c r="D491" s="8"/>
      <c r="E491" s="8"/>
      <c r="J491" s="8"/>
      <c r="K491" s="8"/>
    </row>
    <row r="492">
      <c r="A492" s="8"/>
      <c r="B492" s="177"/>
      <c r="C492" s="8" t="str">
        <f>IF(ISBLANK(A492),"",VLOOKUP(A492,DOI_URL!$B$1:$C$74,2,FALSE()))</f>
        <v/>
      </c>
      <c r="D492" s="8"/>
      <c r="E492" s="8"/>
      <c r="J492" s="8"/>
      <c r="K492" s="8"/>
    </row>
    <row r="493">
      <c r="A493" s="8"/>
      <c r="B493" s="177"/>
      <c r="C493" s="8" t="str">
        <f>IF(ISBLANK(A493),"",VLOOKUP(A493,DOI_URL!$B$1:$C$74,2,FALSE()))</f>
        <v/>
      </c>
      <c r="D493" s="8"/>
      <c r="E493" s="8"/>
      <c r="J493" s="8"/>
      <c r="K493" s="8"/>
    </row>
    <row r="494">
      <c r="A494" s="8"/>
      <c r="B494" s="177"/>
      <c r="C494" s="8" t="str">
        <f>IF(ISBLANK(A494),"",VLOOKUP(A494,DOI_URL!$B$1:$C$74,2,FALSE()))</f>
        <v/>
      </c>
      <c r="D494" s="8"/>
      <c r="E494" s="8"/>
      <c r="J494" s="8"/>
      <c r="K494" s="8"/>
    </row>
    <row r="495">
      <c r="A495" s="8"/>
      <c r="B495" s="177"/>
      <c r="C495" s="8" t="str">
        <f>IF(ISBLANK(A495),"",VLOOKUP(A495,DOI_URL!$B$1:$C$74,2,FALSE()))</f>
        <v/>
      </c>
      <c r="D495" s="8"/>
      <c r="E495" s="8"/>
      <c r="J495" s="8"/>
      <c r="K495" s="8"/>
    </row>
    <row r="496">
      <c r="A496" s="8"/>
      <c r="B496" s="177"/>
      <c r="C496" s="8" t="str">
        <f>IF(ISBLANK(A496),"",VLOOKUP(A496,DOI_URL!$B$1:$C$74,2,FALSE()))</f>
        <v/>
      </c>
      <c r="D496" s="8"/>
      <c r="E496" s="8"/>
      <c r="J496" s="8"/>
      <c r="K496" s="8"/>
    </row>
    <row r="497">
      <c r="A497" s="8"/>
      <c r="B497" s="177"/>
      <c r="C497" s="8" t="str">
        <f>IF(ISBLANK(A497),"",VLOOKUP(A497,DOI_URL!$B$1:$C$74,2,FALSE()))</f>
        <v/>
      </c>
      <c r="D497" s="8"/>
      <c r="E497" s="8"/>
      <c r="J497" s="8"/>
      <c r="K497" s="8"/>
    </row>
    <row r="498">
      <c r="A498" s="8"/>
      <c r="B498" s="177"/>
      <c r="C498" s="8" t="str">
        <f>IF(ISBLANK(A498),"",VLOOKUP(A498,DOI_URL!$B$1:$C$74,2,FALSE()))</f>
        <v/>
      </c>
      <c r="D498" s="8"/>
      <c r="E498" s="8"/>
      <c r="J498" s="8"/>
      <c r="K498" s="8"/>
    </row>
    <row r="499">
      <c r="A499" s="8"/>
      <c r="B499" s="177"/>
      <c r="C499" s="8" t="str">
        <f>IF(ISBLANK(A499),"",VLOOKUP(A499,DOI_URL!$B$1:$C$74,2,FALSE()))</f>
        <v/>
      </c>
      <c r="D499" s="8"/>
      <c r="E499" s="8"/>
      <c r="J499" s="8"/>
      <c r="K499" s="8"/>
    </row>
    <row r="500">
      <c r="A500" s="8"/>
      <c r="B500" s="177"/>
      <c r="C500" s="8" t="str">
        <f>IF(ISBLANK(A500),"",VLOOKUP(A500,DOI_URL!$B$1:$C$74,2,FALSE()))</f>
        <v/>
      </c>
      <c r="D500" s="8"/>
      <c r="E500" s="8"/>
      <c r="J500" s="8"/>
      <c r="K500" s="8"/>
    </row>
    <row r="501">
      <c r="A501" s="8"/>
      <c r="B501" s="177"/>
      <c r="C501" s="8" t="str">
        <f>IF(ISBLANK(A501),"",VLOOKUP(A501,DOI_URL!$B$1:$C$74,2,FALSE()))</f>
        <v/>
      </c>
      <c r="D501" s="8"/>
      <c r="E501" s="8"/>
      <c r="J501" s="8"/>
      <c r="K501" s="8"/>
    </row>
    <row r="502">
      <c r="A502" s="8"/>
      <c r="B502" s="177"/>
      <c r="C502" s="8" t="str">
        <f>IF(ISBLANK(A502),"",VLOOKUP(A502,DOI_URL!$B$1:$C$74,2,FALSE()))</f>
        <v/>
      </c>
      <c r="D502" s="8"/>
      <c r="E502" s="8"/>
      <c r="J502" s="8"/>
      <c r="K502" s="8"/>
    </row>
    <row r="503">
      <c r="A503" s="8"/>
      <c r="B503" s="177"/>
      <c r="C503" s="8" t="str">
        <f>IF(ISBLANK(A503),"",VLOOKUP(A503,DOI_URL!$B$1:$C$74,2,FALSE()))</f>
        <v/>
      </c>
      <c r="D503" s="8"/>
      <c r="E503" s="8"/>
      <c r="J503" s="8"/>
      <c r="K503" s="8"/>
    </row>
    <row r="504">
      <c r="A504" s="8"/>
      <c r="B504" s="177"/>
      <c r="C504" s="8" t="str">
        <f>IF(ISBLANK(A504),"",VLOOKUP(A504,DOI_URL!$B$1:$C$74,2,FALSE()))</f>
        <v/>
      </c>
      <c r="D504" s="8"/>
      <c r="E504" s="8"/>
      <c r="J504" s="8"/>
      <c r="K504" s="8"/>
    </row>
    <row r="505">
      <c r="A505" s="8"/>
      <c r="B505" s="177"/>
      <c r="C505" s="8" t="str">
        <f>IF(ISBLANK(A505),"",VLOOKUP(A505,DOI_URL!$B$1:$C$74,2,FALSE()))</f>
        <v/>
      </c>
      <c r="D505" s="8"/>
      <c r="E505" s="8"/>
      <c r="J505" s="8"/>
      <c r="K505" s="8"/>
    </row>
    <row r="506">
      <c r="A506" s="8"/>
      <c r="B506" s="177"/>
      <c r="C506" s="8" t="str">
        <f>IF(ISBLANK(A506),"",VLOOKUP(A506,DOI_URL!$B$1:$C$74,2,FALSE()))</f>
        <v/>
      </c>
      <c r="D506" s="8"/>
      <c r="E506" s="8"/>
      <c r="J506" s="8"/>
      <c r="K506" s="8"/>
    </row>
    <row r="507">
      <c r="A507" s="8"/>
      <c r="B507" s="177"/>
      <c r="C507" s="8" t="str">
        <f>IF(ISBLANK(A507),"",VLOOKUP(A507,DOI_URL!$B$1:$C$74,2,FALSE()))</f>
        <v/>
      </c>
      <c r="D507" s="8"/>
      <c r="E507" s="8"/>
      <c r="J507" s="8"/>
      <c r="K507" s="8"/>
    </row>
    <row r="508">
      <c r="A508" s="8"/>
      <c r="B508" s="177"/>
      <c r="C508" s="8" t="str">
        <f>IF(ISBLANK(A508),"",VLOOKUP(A508,DOI_URL!$B$1:$C$74,2,FALSE()))</f>
        <v/>
      </c>
      <c r="D508" s="8"/>
      <c r="E508" s="8"/>
      <c r="J508" s="8"/>
      <c r="K508" s="8"/>
    </row>
    <row r="509">
      <c r="A509" s="8"/>
      <c r="B509" s="177"/>
      <c r="C509" s="8" t="str">
        <f>IF(ISBLANK(A509),"",VLOOKUP(A509,DOI_URL!$B$1:$C$74,2,FALSE()))</f>
        <v/>
      </c>
      <c r="D509" s="8"/>
      <c r="E509" s="8"/>
      <c r="J509" s="8"/>
      <c r="K509" s="8"/>
    </row>
    <row r="510">
      <c r="A510" s="8"/>
      <c r="B510" s="177"/>
      <c r="C510" s="8" t="str">
        <f>IF(ISBLANK(A510),"",VLOOKUP(A510,DOI_URL!$B$1:$C$74,2,FALSE()))</f>
        <v/>
      </c>
      <c r="D510" s="8"/>
      <c r="E510" s="8"/>
      <c r="J510" s="8"/>
      <c r="K510" s="8"/>
    </row>
    <row r="511">
      <c r="A511" s="8"/>
      <c r="B511" s="177"/>
      <c r="C511" s="8" t="str">
        <f>IF(ISBLANK(A511),"",VLOOKUP(A511,DOI_URL!$B$1:$C$74,2,FALSE()))</f>
        <v/>
      </c>
      <c r="D511" s="8"/>
      <c r="E511" s="8"/>
      <c r="J511" s="8"/>
      <c r="K511" s="8"/>
    </row>
    <row r="512">
      <c r="A512" s="8"/>
      <c r="B512" s="177"/>
      <c r="C512" s="8" t="str">
        <f>IF(ISBLANK(A512),"",VLOOKUP(A512,DOI_URL!$B$1:$C$74,2,FALSE()))</f>
        <v/>
      </c>
      <c r="D512" s="8"/>
      <c r="E512" s="8"/>
      <c r="J512" s="8"/>
      <c r="K512" s="8"/>
    </row>
    <row r="513">
      <c r="A513" s="8"/>
      <c r="B513" s="177"/>
      <c r="C513" s="8" t="str">
        <f>IF(ISBLANK(A513),"",VLOOKUP(A513,DOI_URL!$B$1:$C$74,2,FALSE()))</f>
        <v/>
      </c>
      <c r="D513" s="8"/>
      <c r="E513" s="8"/>
      <c r="J513" s="8"/>
      <c r="K513" s="8"/>
    </row>
    <row r="514">
      <c r="A514" s="8"/>
      <c r="B514" s="177"/>
      <c r="C514" s="8" t="str">
        <f>IF(ISBLANK(A514),"",VLOOKUP(A514,DOI_URL!$B$1:$C$74,2,FALSE()))</f>
        <v/>
      </c>
      <c r="D514" s="8"/>
      <c r="E514" s="8"/>
      <c r="J514" s="8"/>
      <c r="K514" s="8"/>
    </row>
    <row r="515">
      <c r="A515" s="8"/>
      <c r="B515" s="177"/>
      <c r="C515" s="8" t="str">
        <f>IF(ISBLANK(A515),"",VLOOKUP(A515,DOI_URL!$B$1:$C$74,2,FALSE()))</f>
        <v/>
      </c>
      <c r="D515" s="8"/>
      <c r="E515" s="8"/>
      <c r="J515" s="8"/>
      <c r="K515" s="8"/>
    </row>
    <row r="516">
      <c r="A516" s="8"/>
      <c r="B516" s="177"/>
      <c r="C516" s="8" t="str">
        <f>IF(ISBLANK(A516),"",VLOOKUP(A516,DOI_URL!$B$1:$C$74,2,FALSE()))</f>
        <v/>
      </c>
      <c r="D516" s="8"/>
      <c r="E516" s="8"/>
      <c r="J516" s="8"/>
      <c r="K516" s="8"/>
    </row>
    <row r="517">
      <c r="A517" s="8"/>
      <c r="B517" s="177"/>
      <c r="C517" s="8" t="str">
        <f>IF(ISBLANK(A517),"",VLOOKUP(A517,DOI_URL!$B$1:$C$74,2,FALSE()))</f>
        <v/>
      </c>
      <c r="D517" s="8"/>
      <c r="E517" s="8"/>
      <c r="J517" s="8"/>
      <c r="K517" s="8"/>
    </row>
    <row r="518">
      <c r="A518" s="8"/>
      <c r="B518" s="177"/>
      <c r="C518" s="8" t="str">
        <f>IF(ISBLANK(A518),"",VLOOKUP(A518,DOI_URL!$B$1:$C$74,2,FALSE()))</f>
        <v/>
      </c>
      <c r="D518" s="8"/>
      <c r="E518" s="8"/>
      <c r="J518" s="8"/>
      <c r="K518" s="8"/>
    </row>
    <row r="519">
      <c r="A519" s="8"/>
      <c r="B519" s="177"/>
      <c r="C519" s="8" t="str">
        <f>IF(ISBLANK(A519),"",VLOOKUP(A519,DOI_URL!$B$1:$C$74,2,FALSE()))</f>
        <v/>
      </c>
      <c r="D519" s="8"/>
      <c r="E519" s="8"/>
      <c r="J519" s="8"/>
      <c r="K519" s="8"/>
    </row>
    <row r="520">
      <c r="A520" s="8"/>
      <c r="B520" s="177"/>
      <c r="C520" s="8" t="str">
        <f>IF(ISBLANK(A520),"",VLOOKUP(A520,DOI_URL!$B$1:$C$74,2,FALSE()))</f>
        <v/>
      </c>
      <c r="D520" s="8"/>
      <c r="E520" s="8"/>
      <c r="J520" s="8"/>
      <c r="K520" s="8"/>
    </row>
    <row r="521">
      <c r="A521" s="8"/>
      <c r="B521" s="177"/>
      <c r="C521" s="8" t="str">
        <f>IF(ISBLANK(A521),"",VLOOKUP(A521,DOI_URL!$B$1:$C$74,2,FALSE()))</f>
        <v/>
      </c>
      <c r="D521" s="8"/>
      <c r="E521" s="8"/>
      <c r="J521" s="8"/>
      <c r="K521" s="8"/>
    </row>
    <row r="522">
      <c r="A522" s="8"/>
      <c r="B522" s="177"/>
      <c r="C522" s="8" t="str">
        <f>IF(ISBLANK(A522),"",VLOOKUP(A522,DOI_URL!$B$1:$C$74,2,FALSE()))</f>
        <v/>
      </c>
      <c r="D522" s="8"/>
      <c r="E522" s="8"/>
      <c r="J522" s="8"/>
      <c r="K522" s="8"/>
    </row>
    <row r="523">
      <c r="A523" s="8"/>
      <c r="B523" s="177"/>
      <c r="C523" s="8" t="str">
        <f>IF(ISBLANK(A523),"",VLOOKUP(A523,DOI_URL!$B$1:$C$74,2,FALSE()))</f>
        <v/>
      </c>
      <c r="D523" s="8"/>
      <c r="E523" s="8"/>
      <c r="J523" s="8"/>
      <c r="K523" s="8"/>
    </row>
    <row r="524">
      <c r="A524" s="8"/>
      <c r="B524" s="177"/>
      <c r="C524" s="8" t="str">
        <f>IF(ISBLANK(A524),"",VLOOKUP(A524,DOI_URL!$B$1:$C$74,2,FALSE()))</f>
        <v/>
      </c>
      <c r="D524" s="8"/>
      <c r="E524" s="8"/>
      <c r="J524" s="8"/>
      <c r="K524" s="8"/>
    </row>
    <row r="525">
      <c r="A525" s="8"/>
      <c r="B525" s="177"/>
      <c r="C525" s="8" t="str">
        <f>IF(ISBLANK(A525),"",VLOOKUP(A525,DOI_URL!$B$1:$C$74,2,FALSE()))</f>
        <v/>
      </c>
      <c r="D525" s="8"/>
      <c r="E525" s="8"/>
      <c r="J525" s="8"/>
      <c r="K525" s="8"/>
    </row>
    <row r="526">
      <c r="A526" s="8"/>
      <c r="B526" s="177"/>
      <c r="C526" s="8" t="str">
        <f>IF(ISBLANK(A526),"",VLOOKUP(A526,DOI_URL!$B$1:$C$74,2,FALSE()))</f>
        <v/>
      </c>
      <c r="D526" s="8"/>
      <c r="E526" s="8"/>
      <c r="J526" s="8"/>
      <c r="K526" s="8"/>
    </row>
    <row r="527">
      <c r="A527" s="8"/>
      <c r="B527" s="177"/>
      <c r="C527" s="8" t="str">
        <f>IF(ISBLANK(A527),"",VLOOKUP(A527,DOI_URL!$B$1:$C$74,2,FALSE()))</f>
        <v/>
      </c>
      <c r="D527" s="8"/>
      <c r="E527" s="8"/>
      <c r="J527" s="8"/>
      <c r="K527" s="8"/>
    </row>
    <row r="528">
      <c r="A528" s="8"/>
      <c r="B528" s="177"/>
      <c r="C528" s="8" t="str">
        <f>IF(ISBLANK(A528),"",VLOOKUP(A528,DOI_URL!$B$1:$C$74,2,FALSE()))</f>
        <v/>
      </c>
      <c r="D528" s="8"/>
      <c r="E528" s="8"/>
      <c r="J528" s="8"/>
      <c r="K528" s="8"/>
    </row>
    <row r="529">
      <c r="A529" s="8"/>
      <c r="B529" s="177"/>
      <c r="C529" s="8" t="str">
        <f>IF(ISBLANK(A529),"",VLOOKUP(A529,DOI_URL!$B$1:$C$74,2,FALSE()))</f>
        <v/>
      </c>
      <c r="D529" s="8"/>
      <c r="E529" s="8"/>
      <c r="J529" s="8"/>
      <c r="K529" s="8"/>
    </row>
    <row r="530">
      <c r="A530" s="8"/>
      <c r="B530" s="177"/>
      <c r="C530" s="8" t="str">
        <f>IF(ISBLANK(A530),"",VLOOKUP(A530,DOI_URL!$B$1:$C$74,2,FALSE()))</f>
        <v/>
      </c>
      <c r="D530" s="8"/>
      <c r="E530" s="8"/>
      <c r="J530" s="8"/>
      <c r="K530" s="8"/>
    </row>
    <row r="531">
      <c r="A531" s="8"/>
      <c r="B531" s="177"/>
      <c r="C531" s="8" t="str">
        <f>IF(ISBLANK(A531),"",VLOOKUP(A531,DOI_URL!$B$1:$C$74,2,FALSE()))</f>
        <v/>
      </c>
      <c r="D531" s="8"/>
      <c r="E531" s="8"/>
      <c r="J531" s="8"/>
      <c r="K531" s="8"/>
    </row>
    <row r="532">
      <c r="A532" s="8"/>
      <c r="B532" s="177"/>
      <c r="C532" s="8" t="str">
        <f>IF(ISBLANK(A532),"",VLOOKUP(A532,DOI_URL!$B$1:$C$74,2,FALSE()))</f>
        <v/>
      </c>
      <c r="D532" s="8"/>
      <c r="E532" s="8"/>
      <c r="J532" s="8"/>
      <c r="K532" s="8"/>
    </row>
    <row r="533">
      <c r="A533" s="8"/>
      <c r="B533" s="177"/>
      <c r="C533" s="8" t="str">
        <f>IF(ISBLANK(A533),"",VLOOKUP(A533,DOI_URL!$B$1:$C$74,2,FALSE()))</f>
        <v/>
      </c>
      <c r="D533" s="8"/>
      <c r="E533" s="8"/>
      <c r="J533" s="8"/>
      <c r="K533" s="8"/>
    </row>
    <row r="534">
      <c r="A534" s="8"/>
      <c r="B534" s="177"/>
      <c r="C534" s="8" t="str">
        <f>IF(ISBLANK(A534),"",VLOOKUP(A534,DOI_URL!$B$1:$C$74,2,FALSE()))</f>
        <v/>
      </c>
      <c r="D534" s="8"/>
      <c r="E534" s="8"/>
      <c r="J534" s="8"/>
      <c r="K534" s="8"/>
    </row>
    <row r="535">
      <c r="A535" s="8"/>
      <c r="B535" s="177"/>
      <c r="C535" s="8" t="str">
        <f>IF(ISBLANK(A535),"",VLOOKUP(A535,DOI_URL!$B$1:$C$74,2,FALSE()))</f>
        <v/>
      </c>
      <c r="D535" s="8"/>
      <c r="E535" s="8"/>
      <c r="J535" s="8"/>
      <c r="K535" s="8"/>
    </row>
    <row r="536">
      <c r="A536" s="8"/>
      <c r="B536" s="177"/>
      <c r="C536" s="8" t="str">
        <f>IF(ISBLANK(A536),"",VLOOKUP(A536,DOI_URL!$B$1:$C$74,2,FALSE()))</f>
        <v/>
      </c>
      <c r="D536" s="8"/>
      <c r="E536" s="8"/>
      <c r="J536" s="8"/>
      <c r="K536" s="8"/>
    </row>
    <row r="537">
      <c r="A537" s="8"/>
      <c r="B537" s="177"/>
      <c r="C537" s="8" t="str">
        <f>IF(ISBLANK(A537),"",VLOOKUP(A537,DOI_URL!$B$1:$C$74,2,FALSE()))</f>
        <v/>
      </c>
      <c r="D537" s="8"/>
      <c r="E537" s="8"/>
      <c r="J537" s="8"/>
      <c r="K537" s="8"/>
    </row>
    <row r="538">
      <c r="A538" s="8"/>
      <c r="B538" s="177"/>
      <c r="C538" s="8" t="str">
        <f>IF(ISBLANK(A538),"",VLOOKUP(A538,DOI_URL!$B$1:$C$74,2,FALSE()))</f>
        <v/>
      </c>
      <c r="D538" s="8"/>
      <c r="E538" s="8"/>
      <c r="J538" s="8"/>
      <c r="K538" s="8"/>
    </row>
    <row r="539">
      <c r="A539" s="8"/>
      <c r="B539" s="177"/>
      <c r="C539" s="8" t="str">
        <f>IF(ISBLANK(A539),"",VLOOKUP(A539,DOI_URL!$B$1:$C$74,2,FALSE()))</f>
        <v/>
      </c>
      <c r="D539" s="8"/>
      <c r="E539" s="8"/>
      <c r="J539" s="8"/>
      <c r="K539" s="8"/>
    </row>
    <row r="540">
      <c r="A540" s="8"/>
      <c r="B540" s="177"/>
      <c r="C540" s="8" t="str">
        <f>IF(ISBLANK(A540),"",VLOOKUP(A540,DOI_URL!$B$1:$C$74,2,FALSE()))</f>
        <v/>
      </c>
      <c r="D540" s="8"/>
      <c r="E540" s="8"/>
      <c r="J540" s="8"/>
      <c r="K540" s="8"/>
    </row>
    <row r="541">
      <c r="A541" s="8"/>
      <c r="B541" s="177"/>
      <c r="C541" s="8" t="str">
        <f>IF(ISBLANK(A541),"",VLOOKUP(A541,DOI_URL!$B$1:$C$74,2,FALSE()))</f>
        <v/>
      </c>
      <c r="D541" s="8"/>
      <c r="E541" s="8"/>
      <c r="J541" s="8"/>
      <c r="K541" s="8"/>
    </row>
    <row r="542">
      <c r="A542" s="8"/>
      <c r="B542" s="177"/>
      <c r="C542" s="8" t="str">
        <f>IF(ISBLANK(A542),"",VLOOKUP(A542,DOI_URL!$B$1:$C$74,2,FALSE()))</f>
        <v/>
      </c>
      <c r="D542" s="8"/>
      <c r="E542" s="8"/>
      <c r="J542" s="8"/>
      <c r="K542" s="8"/>
    </row>
    <row r="543">
      <c r="A543" s="8"/>
      <c r="B543" s="177"/>
      <c r="C543" s="8" t="str">
        <f>IF(ISBLANK(A543),"",VLOOKUP(A543,DOI_URL!$B$1:$C$74,2,FALSE()))</f>
        <v/>
      </c>
      <c r="D543" s="8"/>
      <c r="E543" s="8"/>
      <c r="J543" s="8"/>
      <c r="K543" s="8"/>
    </row>
    <row r="544">
      <c r="A544" s="8"/>
      <c r="B544" s="177"/>
      <c r="C544" s="8" t="str">
        <f>IF(ISBLANK(A544),"",VLOOKUP(A544,DOI_URL!$B$1:$C$74,2,FALSE()))</f>
        <v/>
      </c>
      <c r="D544" s="8"/>
      <c r="E544" s="8"/>
      <c r="J544" s="8"/>
      <c r="K544" s="8"/>
    </row>
    <row r="545">
      <c r="A545" s="8"/>
      <c r="B545" s="177"/>
      <c r="C545" s="8" t="str">
        <f>IF(ISBLANK(A545),"",VLOOKUP(A545,DOI_URL!$B$1:$C$74,2,FALSE()))</f>
        <v/>
      </c>
      <c r="D545" s="8"/>
      <c r="E545" s="8"/>
      <c r="J545" s="8"/>
      <c r="K545" s="8"/>
    </row>
    <row r="546">
      <c r="A546" s="8"/>
      <c r="B546" s="177"/>
      <c r="C546" s="8" t="str">
        <f>IF(ISBLANK(A546),"",VLOOKUP(A546,DOI_URL!$B$1:$C$74,2,FALSE()))</f>
        <v/>
      </c>
      <c r="D546" s="8"/>
      <c r="E546" s="8"/>
      <c r="J546" s="8"/>
      <c r="K546" s="8"/>
    </row>
    <row r="547">
      <c r="A547" s="8"/>
      <c r="B547" s="177"/>
      <c r="C547" s="8" t="str">
        <f>IF(ISBLANK(A547),"",VLOOKUP(A547,DOI_URL!$B$1:$C$74,2,FALSE()))</f>
        <v/>
      </c>
      <c r="D547" s="8"/>
      <c r="E547" s="8"/>
      <c r="J547" s="8"/>
      <c r="K547" s="8"/>
    </row>
    <row r="548">
      <c r="A548" s="8"/>
      <c r="B548" s="177"/>
      <c r="C548" s="8" t="str">
        <f>IF(ISBLANK(A548),"",VLOOKUP(A548,DOI_URL!$B$1:$C$74,2,FALSE()))</f>
        <v/>
      </c>
      <c r="D548" s="8"/>
      <c r="E548" s="8"/>
      <c r="J548" s="8"/>
      <c r="K548" s="8"/>
    </row>
    <row r="549">
      <c r="A549" s="8"/>
      <c r="B549" s="177"/>
      <c r="C549" s="8" t="str">
        <f>IF(ISBLANK(A549),"",VLOOKUP(A549,DOI_URL!$B$1:$C$74,2,FALSE()))</f>
        <v/>
      </c>
      <c r="D549" s="8"/>
      <c r="E549" s="8"/>
      <c r="J549" s="8"/>
      <c r="K549" s="8"/>
    </row>
    <row r="550">
      <c r="A550" s="8"/>
      <c r="B550" s="177"/>
      <c r="C550" s="8" t="str">
        <f>IF(ISBLANK(A550),"",VLOOKUP(A550,DOI_URL!$B$1:$C$74,2,FALSE()))</f>
        <v/>
      </c>
      <c r="D550" s="8"/>
      <c r="E550" s="8"/>
      <c r="J550" s="8"/>
      <c r="K550" s="8"/>
    </row>
    <row r="551">
      <c r="A551" s="8"/>
      <c r="B551" s="177"/>
      <c r="C551" s="8" t="str">
        <f>IF(ISBLANK(A551),"",VLOOKUP(A551,DOI_URL!$B$1:$C$74,2,FALSE()))</f>
        <v/>
      </c>
      <c r="D551" s="8"/>
      <c r="E551" s="8"/>
      <c r="J551" s="8"/>
      <c r="K551" s="8"/>
    </row>
    <row r="552">
      <c r="A552" s="8"/>
      <c r="B552" s="177"/>
      <c r="C552" s="8" t="str">
        <f>IF(ISBLANK(A552),"",VLOOKUP(A552,DOI_URL!$B$1:$C$74,2,FALSE()))</f>
        <v/>
      </c>
      <c r="D552" s="8"/>
      <c r="E552" s="8"/>
      <c r="J552" s="8"/>
      <c r="K552" s="8"/>
    </row>
    <row r="553">
      <c r="A553" s="8"/>
      <c r="B553" s="177"/>
      <c r="C553" s="8" t="str">
        <f>IF(ISBLANK(A553),"",VLOOKUP(A553,DOI_URL!$B$1:$C$74,2,FALSE()))</f>
        <v/>
      </c>
      <c r="D553" s="8"/>
      <c r="E553" s="8"/>
      <c r="J553" s="8"/>
      <c r="K553" s="8"/>
    </row>
    <row r="554">
      <c r="A554" s="8"/>
      <c r="B554" s="177"/>
      <c r="C554" s="8" t="str">
        <f>IF(ISBLANK(A554),"",VLOOKUP(A554,DOI_URL!$B$1:$C$74,2,FALSE()))</f>
        <v/>
      </c>
      <c r="D554" s="8"/>
      <c r="E554" s="8"/>
      <c r="J554" s="8"/>
      <c r="K554" s="8"/>
    </row>
    <row r="555">
      <c r="A555" s="8"/>
      <c r="B555" s="177"/>
      <c r="C555" s="8" t="str">
        <f>IF(ISBLANK(A555),"",VLOOKUP(A555,DOI_URL!$B$1:$C$74,2,FALSE()))</f>
        <v/>
      </c>
      <c r="D555" s="8"/>
      <c r="E555" s="8"/>
      <c r="J555" s="8"/>
      <c r="K555" s="8"/>
    </row>
    <row r="556">
      <c r="A556" s="8"/>
      <c r="B556" s="177"/>
      <c r="C556" s="8" t="str">
        <f>IF(ISBLANK(A556),"",VLOOKUP(A556,DOI_URL!$B$1:$C$74,2,FALSE()))</f>
        <v/>
      </c>
      <c r="D556" s="8"/>
      <c r="E556" s="8"/>
      <c r="J556" s="8"/>
      <c r="K556" s="8"/>
    </row>
    <row r="557">
      <c r="A557" s="8"/>
      <c r="B557" s="177"/>
      <c r="C557" s="8" t="str">
        <f>IF(ISBLANK(A557),"",VLOOKUP(A557,DOI_URL!$B$1:$C$74,2,FALSE()))</f>
        <v/>
      </c>
      <c r="D557" s="8"/>
      <c r="E557" s="8"/>
      <c r="J557" s="8"/>
      <c r="K557" s="8"/>
    </row>
    <row r="558">
      <c r="A558" s="8"/>
      <c r="B558" s="177"/>
      <c r="C558" s="8" t="str">
        <f>IF(ISBLANK(A558),"",VLOOKUP(A558,DOI_URL!$B$1:$C$74,2,FALSE()))</f>
        <v/>
      </c>
      <c r="D558" s="8"/>
      <c r="E558" s="8"/>
      <c r="J558" s="8"/>
      <c r="K558" s="8"/>
    </row>
    <row r="559">
      <c r="A559" s="8"/>
      <c r="B559" s="177"/>
      <c r="C559" s="8" t="str">
        <f>IF(ISBLANK(A559),"",VLOOKUP(A559,DOI_URL!$B$1:$C$74,2,FALSE()))</f>
        <v/>
      </c>
      <c r="D559" s="8"/>
      <c r="E559" s="8"/>
      <c r="J559" s="8"/>
      <c r="K559" s="8"/>
    </row>
    <row r="560">
      <c r="A560" s="8"/>
      <c r="B560" s="177"/>
      <c r="C560" s="8" t="str">
        <f>IF(ISBLANK(A560),"",VLOOKUP(A560,DOI_URL!$B$1:$C$74,2,FALSE()))</f>
        <v/>
      </c>
      <c r="D560" s="8"/>
      <c r="E560" s="8"/>
      <c r="J560" s="8"/>
      <c r="K560" s="8"/>
    </row>
    <row r="561">
      <c r="A561" s="8"/>
      <c r="B561" s="177"/>
      <c r="C561" s="8" t="str">
        <f>IF(ISBLANK(A561),"",VLOOKUP(A561,DOI_URL!$B$1:$C$74,2,FALSE()))</f>
        <v/>
      </c>
      <c r="D561" s="8"/>
      <c r="E561" s="8"/>
      <c r="J561" s="8"/>
      <c r="K561" s="8"/>
    </row>
    <row r="562">
      <c r="A562" s="8"/>
      <c r="B562" s="177"/>
      <c r="C562" s="8" t="str">
        <f>IF(ISBLANK(A562),"",VLOOKUP(A562,DOI_URL!$B$1:$C$74,2,FALSE()))</f>
        <v/>
      </c>
      <c r="D562" s="8"/>
      <c r="E562" s="8"/>
      <c r="J562" s="8"/>
      <c r="K562" s="8"/>
    </row>
    <row r="563">
      <c r="A563" s="8"/>
      <c r="B563" s="177"/>
      <c r="C563" s="8" t="str">
        <f>IF(ISBLANK(A563),"",VLOOKUP(A563,DOI_URL!$B$1:$C$74,2,FALSE()))</f>
        <v/>
      </c>
      <c r="D563" s="8"/>
      <c r="E563" s="8"/>
      <c r="J563" s="8"/>
      <c r="K563" s="8"/>
    </row>
    <row r="564">
      <c r="A564" s="8"/>
      <c r="B564" s="177"/>
      <c r="C564" s="8" t="str">
        <f>IF(ISBLANK(A564),"",VLOOKUP(A564,DOI_URL!$B$1:$C$74,2,FALSE()))</f>
        <v/>
      </c>
      <c r="D564" s="8"/>
      <c r="E564" s="8"/>
      <c r="J564" s="8"/>
      <c r="K564" s="8"/>
    </row>
    <row r="565">
      <c r="A565" s="8"/>
      <c r="B565" s="177"/>
      <c r="C565" s="8" t="str">
        <f>IF(ISBLANK(A565),"",VLOOKUP(A565,DOI_URL!$B$1:$C$74,2,FALSE()))</f>
        <v/>
      </c>
      <c r="D565" s="8"/>
      <c r="E565" s="8"/>
      <c r="J565" s="8"/>
      <c r="K565" s="8"/>
    </row>
    <row r="566">
      <c r="A566" s="8"/>
      <c r="B566" s="177"/>
      <c r="C566" s="8" t="str">
        <f>IF(ISBLANK(A566),"",VLOOKUP(A566,DOI_URL!$B$1:$C$74,2,FALSE()))</f>
        <v/>
      </c>
      <c r="D566" s="8"/>
      <c r="E566" s="8"/>
      <c r="J566" s="8"/>
      <c r="K566" s="8"/>
    </row>
    <row r="567">
      <c r="A567" s="8"/>
      <c r="B567" s="177"/>
      <c r="C567" s="8" t="str">
        <f>IF(ISBLANK(A567),"",VLOOKUP(A567,DOI_URL!$B$1:$C$74,2,FALSE()))</f>
        <v/>
      </c>
      <c r="D567" s="8"/>
      <c r="E567" s="8"/>
      <c r="J567" s="8"/>
      <c r="K567" s="8"/>
    </row>
    <row r="568">
      <c r="A568" s="8"/>
      <c r="B568" s="177"/>
      <c r="C568" s="8" t="str">
        <f>IF(ISBLANK(A568),"",VLOOKUP(A568,DOI_URL!$B$1:$C$74,2,FALSE()))</f>
        <v/>
      </c>
      <c r="D568" s="8"/>
      <c r="E568" s="8"/>
      <c r="J568" s="8"/>
      <c r="K568" s="8"/>
    </row>
    <row r="569">
      <c r="A569" s="8"/>
      <c r="B569" s="177"/>
      <c r="C569" s="8" t="str">
        <f>IF(ISBLANK(A569),"",VLOOKUP(A569,DOI_URL!$B$1:$C$74,2,FALSE()))</f>
        <v/>
      </c>
      <c r="D569" s="8"/>
      <c r="E569" s="8"/>
      <c r="J569" s="8"/>
      <c r="K569" s="8"/>
    </row>
    <row r="570">
      <c r="A570" s="8"/>
      <c r="B570" s="177"/>
      <c r="C570" s="8" t="str">
        <f>IF(ISBLANK(A570),"",VLOOKUP(A570,DOI_URL!$B$1:$C$74,2,FALSE()))</f>
        <v/>
      </c>
      <c r="D570" s="8"/>
      <c r="E570" s="8"/>
      <c r="J570" s="8"/>
      <c r="K570" s="8"/>
    </row>
    <row r="571">
      <c r="A571" s="8"/>
      <c r="B571" s="177"/>
      <c r="C571" s="8" t="str">
        <f>IF(ISBLANK(A571),"",VLOOKUP(A571,DOI_URL!$B$1:$C$74,2,FALSE()))</f>
        <v/>
      </c>
      <c r="D571" s="8"/>
      <c r="E571" s="8"/>
      <c r="J571" s="8"/>
      <c r="K571" s="8"/>
    </row>
    <row r="572">
      <c r="A572" s="8"/>
      <c r="B572" s="177"/>
      <c r="C572" s="8" t="str">
        <f>IF(ISBLANK(A572),"",VLOOKUP(A572,DOI_URL!$B$1:$C$74,2,FALSE()))</f>
        <v/>
      </c>
      <c r="D572" s="8"/>
      <c r="E572" s="8"/>
      <c r="J572" s="8"/>
      <c r="K572" s="8"/>
    </row>
    <row r="573">
      <c r="A573" s="8"/>
      <c r="B573" s="177"/>
      <c r="C573" s="8" t="str">
        <f>IF(ISBLANK(A573),"",VLOOKUP(A573,DOI_URL!$B$1:$C$74,2,FALSE()))</f>
        <v/>
      </c>
      <c r="D573" s="8"/>
      <c r="E573" s="8"/>
      <c r="J573" s="8"/>
      <c r="K573" s="8"/>
    </row>
    <row r="574">
      <c r="A574" s="8"/>
      <c r="B574" s="177"/>
      <c r="C574" s="8" t="str">
        <f>IF(ISBLANK(A574),"",VLOOKUP(A574,DOI_URL!$B$1:$C$74,2,FALSE()))</f>
        <v/>
      </c>
      <c r="D574" s="8"/>
      <c r="E574" s="8"/>
      <c r="J574" s="8"/>
      <c r="K574" s="8"/>
    </row>
    <row r="575">
      <c r="A575" s="8"/>
      <c r="B575" s="177"/>
      <c r="C575" s="8" t="str">
        <f>IF(ISBLANK(A575),"",VLOOKUP(A575,DOI_URL!$B$1:$C$74,2,FALSE()))</f>
        <v/>
      </c>
      <c r="D575" s="8"/>
      <c r="E575" s="8"/>
      <c r="J575" s="8"/>
      <c r="K575" s="8"/>
    </row>
    <row r="576">
      <c r="A576" s="8"/>
      <c r="B576" s="177"/>
      <c r="C576" s="8" t="str">
        <f>IF(ISBLANK(A576),"",VLOOKUP(A576,DOI_URL!$B$1:$C$74,2,FALSE()))</f>
        <v/>
      </c>
      <c r="D576" s="8"/>
      <c r="E576" s="8"/>
      <c r="J576" s="8"/>
      <c r="K576" s="8"/>
    </row>
    <row r="577">
      <c r="A577" s="8"/>
      <c r="B577" s="177"/>
      <c r="C577" s="8" t="str">
        <f>IF(ISBLANK(A577),"",VLOOKUP(A577,DOI_URL!$B$1:$C$74,2,FALSE()))</f>
        <v/>
      </c>
      <c r="D577" s="8"/>
      <c r="E577" s="8"/>
      <c r="J577" s="8"/>
      <c r="K577" s="8"/>
    </row>
    <row r="578">
      <c r="A578" s="8"/>
      <c r="B578" s="177"/>
      <c r="C578" s="8" t="str">
        <f>IF(ISBLANK(A578),"",VLOOKUP(A578,DOI_URL!$B$1:$C$74,2,FALSE()))</f>
        <v/>
      </c>
      <c r="D578" s="8"/>
      <c r="E578" s="8"/>
      <c r="J578" s="8"/>
      <c r="K578" s="8"/>
    </row>
    <row r="579">
      <c r="A579" s="8"/>
      <c r="B579" s="177"/>
      <c r="C579" s="8" t="str">
        <f>IF(ISBLANK(A579),"",VLOOKUP(A579,DOI_URL!$B$1:$C$74,2,FALSE()))</f>
        <v/>
      </c>
      <c r="D579" s="8"/>
      <c r="E579" s="8"/>
      <c r="J579" s="8"/>
      <c r="K579" s="8"/>
    </row>
    <row r="580">
      <c r="A580" s="8"/>
      <c r="B580" s="177"/>
      <c r="C580" s="8" t="str">
        <f>IF(ISBLANK(A580),"",VLOOKUP(A580,DOI_URL!$B$1:$C$74,2,FALSE()))</f>
        <v/>
      </c>
      <c r="D580" s="8"/>
      <c r="E580" s="8"/>
      <c r="J580" s="8"/>
      <c r="K580" s="8"/>
    </row>
    <row r="581">
      <c r="A581" s="8"/>
      <c r="B581" s="177"/>
      <c r="C581" s="8" t="str">
        <f>IF(ISBLANK(A581),"",VLOOKUP(A581,DOI_URL!$B$1:$C$74,2,FALSE()))</f>
        <v/>
      </c>
      <c r="D581" s="8"/>
      <c r="E581" s="8"/>
      <c r="J581" s="8"/>
      <c r="K581" s="8"/>
    </row>
    <row r="582">
      <c r="A582" s="8"/>
      <c r="B582" s="177"/>
      <c r="C582" s="8" t="str">
        <f>IF(ISBLANK(A582),"",VLOOKUP(A582,DOI_URL!$B$1:$C$74,2,FALSE()))</f>
        <v/>
      </c>
      <c r="D582" s="8"/>
      <c r="E582" s="8"/>
      <c r="J582" s="8"/>
      <c r="K582" s="8"/>
    </row>
    <row r="583">
      <c r="A583" s="8"/>
      <c r="B583" s="177"/>
      <c r="C583" s="8" t="str">
        <f>IF(ISBLANK(A583),"",VLOOKUP(A583,DOI_URL!$B$1:$C$74,2,FALSE()))</f>
        <v/>
      </c>
      <c r="D583" s="8"/>
      <c r="E583" s="8"/>
      <c r="J583" s="8"/>
      <c r="K583" s="8"/>
    </row>
    <row r="584">
      <c r="A584" s="8"/>
      <c r="B584" s="177"/>
      <c r="C584" s="8" t="str">
        <f>IF(ISBLANK(A584),"",VLOOKUP(A584,DOI_URL!$B$1:$C$74,2,FALSE()))</f>
        <v/>
      </c>
      <c r="D584" s="8"/>
      <c r="E584" s="8"/>
      <c r="J584" s="8"/>
      <c r="K584" s="8"/>
    </row>
    <row r="585">
      <c r="A585" s="8"/>
      <c r="B585" s="177"/>
      <c r="C585" s="8" t="str">
        <f>IF(ISBLANK(A585),"",VLOOKUP(A585,DOI_URL!$B$1:$C$74,2,FALSE()))</f>
        <v/>
      </c>
      <c r="D585" s="8"/>
      <c r="E585" s="8"/>
      <c r="J585" s="8"/>
      <c r="K585" s="8"/>
    </row>
    <row r="586">
      <c r="A586" s="8"/>
      <c r="B586" s="177"/>
      <c r="C586" s="8" t="str">
        <f>IF(ISBLANK(A586),"",VLOOKUP(A586,DOI_URL!$B$1:$C$74,2,FALSE()))</f>
        <v/>
      </c>
      <c r="D586" s="8"/>
      <c r="E586" s="8"/>
      <c r="J586" s="8"/>
      <c r="K586" s="8"/>
    </row>
    <row r="587">
      <c r="A587" s="8"/>
      <c r="B587" s="177"/>
      <c r="C587" s="8" t="str">
        <f>IF(ISBLANK(A587),"",VLOOKUP(A587,DOI_URL!$B$1:$C$74,2,FALSE()))</f>
        <v/>
      </c>
      <c r="D587" s="8"/>
      <c r="E587" s="8"/>
      <c r="J587" s="8"/>
      <c r="K587" s="8"/>
    </row>
    <row r="588">
      <c r="A588" s="8"/>
      <c r="B588" s="177"/>
      <c r="C588" s="8" t="str">
        <f>IF(ISBLANK(A588),"",VLOOKUP(A588,DOI_URL!$B$1:$C$74,2,FALSE()))</f>
        <v/>
      </c>
      <c r="D588" s="8"/>
      <c r="E588" s="8"/>
      <c r="J588" s="8"/>
      <c r="K588" s="8"/>
    </row>
    <row r="589">
      <c r="A589" s="8"/>
      <c r="B589" s="177"/>
      <c r="C589" s="8" t="str">
        <f>IF(ISBLANK(A589),"",VLOOKUP(A589,DOI_URL!$B$1:$C$74,2,FALSE()))</f>
        <v/>
      </c>
      <c r="D589" s="8"/>
      <c r="E589" s="8"/>
      <c r="J589" s="8"/>
      <c r="K589" s="8"/>
    </row>
    <row r="590">
      <c r="A590" s="8"/>
      <c r="B590" s="177"/>
      <c r="C590" s="8" t="str">
        <f>IF(ISBLANK(A590),"",VLOOKUP(A590,DOI_URL!$B$1:$C$74,2,FALSE()))</f>
        <v/>
      </c>
      <c r="D590" s="8"/>
      <c r="E590" s="8"/>
      <c r="J590" s="8"/>
      <c r="K590" s="8"/>
    </row>
    <row r="591">
      <c r="A591" s="8"/>
      <c r="B591" s="177"/>
      <c r="C591" s="8" t="str">
        <f>IF(ISBLANK(A591),"",VLOOKUP(A591,DOI_URL!$B$1:$C$74,2,FALSE()))</f>
        <v/>
      </c>
      <c r="D591" s="8"/>
      <c r="E591" s="8"/>
      <c r="J591" s="8"/>
      <c r="K591" s="8"/>
    </row>
    <row r="592">
      <c r="A592" s="8"/>
      <c r="B592" s="177"/>
      <c r="C592" s="8" t="str">
        <f>IF(ISBLANK(A592),"",VLOOKUP(A592,DOI_URL!$B$1:$C$74,2,FALSE()))</f>
        <v/>
      </c>
      <c r="D592" s="8"/>
      <c r="E592" s="8"/>
      <c r="J592" s="8"/>
      <c r="K592" s="8"/>
    </row>
    <row r="593">
      <c r="A593" s="8"/>
      <c r="B593" s="177"/>
      <c r="C593" s="8" t="str">
        <f>IF(ISBLANK(A593),"",VLOOKUP(A593,DOI_URL!$B$1:$C$74,2,FALSE()))</f>
        <v/>
      </c>
      <c r="D593" s="8"/>
      <c r="E593" s="8"/>
      <c r="J593" s="8"/>
      <c r="K593" s="8"/>
    </row>
    <row r="594">
      <c r="A594" s="8"/>
      <c r="B594" s="177"/>
      <c r="C594" s="8" t="str">
        <f>IF(ISBLANK(A594),"",VLOOKUP(A594,DOI_URL!$B$1:$C$74,2,FALSE()))</f>
        <v/>
      </c>
      <c r="D594" s="8"/>
      <c r="E594" s="8"/>
      <c r="J594" s="8"/>
      <c r="K594" s="8"/>
    </row>
    <row r="595">
      <c r="A595" s="8"/>
      <c r="B595" s="177"/>
      <c r="C595" s="8" t="str">
        <f>IF(ISBLANK(A595),"",VLOOKUP(A595,DOI_URL!$B$1:$C$74,2,FALSE()))</f>
        <v/>
      </c>
      <c r="D595" s="8"/>
      <c r="E595" s="8"/>
      <c r="J595" s="8"/>
      <c r="K595" s="8"/>
    </row>
    <row r="596">
      <c r="A596" s="8"/>
      <c r="B596" s="177"/>
      <c r="C596" s="8" t="str">
        <f>IF(ISBLANK(A596),"",VLOOKUP(A596,DOI_URL!$B$1:$C$74,2,FALSE()))</f>
        <v/>
      </c>
      <c r="D596" s="8"/>
      <c r="E596" s="8"/>
      <c r="J596" s="8"/>
      <c r="K596" s="8"/>
    </row>
    <row r="597">
      <c r="A597" s="8"/>
      <c r="B597" s="177"/>
      <c r="C597" s="8" t="str">
        <f>IF(ISBLANK(A597),"",VLOOKUP(A597,DOI_URL!$B$1:$C$74,2,FALSE()))</f>
        <v/>
      </c>
      <c r="D597" s="8"/>
      <c r="E597" s="8"/>
      <c r="J597" s="8"/>
      <c r="K597" s="8"/>
    </row>
    <row r="598">
      <c r="A598" s="8"/>
      <c r="B598" s="177"/>
      <c r="C598" s="8" t="str">
        <f>IF(ISBLANK(A598),"",VLOOKUP(A598,DOI_URL!$B$1:$C$74,2,FALSE()))</f>
        <v/>
      </c>
      <c r="D598" s="8"/>
      <c r="E598" s="8"/>
      <c r="J598" s="8"/>
      <c r="K598" s="8"/>
    </row>
    <row r="599">
      <c r="A599" s="8"/>
      <c r="B599" s="177"/>
      <c r="C599" s="8" t="str">
        <f>IF(ISBLANK(A599),"",VLOOKUP(A599,DOI_URL!$B$1:$C$74,2,FALSE()))</f>
        <v/>
      </c>
      <c r="D599" s="8"/>
      <c r="E599" s="8"/>
      <c r="J599" s="8"/>
      <c r="K599" s="8"/>
    </row>
    <row r="600">
      <c r="A600" s="8"/>
      <c r="B600" s="177"/>
      <c r="C600" s="8" t="str">
        <f>IF(ISBLANK(A600),"",VLOOKUP(A600,DOI_URL!$B$1:$C$74,2,FALSE()))</f>
        <v/>
      </c>
      <c r="D600" s="8"/>
      <c r="E600" s="8"/>
      <c r="J600" s="8"/>
      <c r="K600" s="8"/>
    </row>
    <row r="601">
      <c r="A601" s="8"/>
      <c r="B601" s="177"/>
      <c r="C601" s="8" t="str">
        <f>IF(ISBLANK(A601),"",VLOOKUP(A601,DOI_URL!$B$1:$C$74,2,FALSE()))</f>
        <v/>
      </c>
      <c r="D601" s="8"/>
      <c r="E601" s="8"/>
      <c r="J601" s="8"/>
      <c r="K601" s="8"/>
    </row>
    <row r="602">
      <c r="A602" s="8"/>
      <c r="B602" s="177"/>
      <c r="C602" s="8" t="str">
        <f>IF(ISBLANK(A602),"",VLOOKUP(A602,DOI_URL!$B$1:$C$74,2,FALSE()))</f>
        <v/>
      </c>
      <c r="D602" s="8"/>
      <c r="E602" s="8"/>
      <c r="J602" s="8"/>
      <c r="K602" s="8"/>
    </row>
    <row r="603">
      <c r="A603" s="8"/>
      <c r="B603" s="177"/>
      <c r="C603" s="8" t="str">
        <f>IF(ISBLANK(A603),"",VLOOKUP(A603,DOI_URL!$B$1:$C$74,2,FALSE()))</f>
        <v/>
      </c>
      <c r="D603" s="8"/>
      <c r="E603" s="8"/>
      <c r="J603" s="8"/>
      <c r="K603" s="8"/>
    </row>
    <row r="604">
      <c r="A604" s="8"/>
      <c r="B604" s="177"/>
      <c r="C604" s="8" t="str">
        <f>IF(ISBLANK(A604),"",VLOOKUP(A604,DOI_URL!$B$1:$C$74,2,FALSE()))</f>
        <v/>
      </c>
      <c r="D604" s="8"/>
      <c r="E604" s="8"/>
      <c r="J604" s="8"/>
      <c r="K604" s="8"/>
    </row>
    <row r="605">
      <c r="A605" s="8"/>
      <c r="B605" s="177"/>
      <c r="C605" s="8" t="str">
        <f>IF(ISBLANK(A605),"",VLOOKUP(A605,DOI_URL!$B$1:$C$74,2,FALSE()))</f>
        <v/>
      </c>
      <c r="D605" s="8"/>
      <c r="E605" s="8"/>
      <c r="J605" s="8"/>
      <c r="K605" s="8"/>
    </row>
    <row r="606">
      <c r="A606" s="8"/>
      <c r="B606" s="177"/>
      <c r="C606" s="8" t="str">
        <f>IF(ISBLANK(A606),"",VLOOKUP(A606,DOI_URL!$B$1:$C$74,2,FALSE()))</f>
        <v/>
      </c>
      <c r="D606" s="8"/>
      <c r="E606" s="8"/>
      <c r="J606" s="8"/>
      <c r="K606" s="8"/>
    </row>
    <row r="607">
      <c r="A607" s="8"/>
      <c r="B607" s="177"/>
      <c r="C607" s="8" t="str">
        <f>IF(ISBLANK(A607),"",VLOOKUP(A607,DOI_URL!$B$1:$C$74,2,FALSE()))</f>
        <v/>
      </c>
      <c r="D607" s="8"/>
      <c r="E607" s="8"/>
      <c r="J607" s="8"/>
      <c r="K607" s="8"/>
    </row>
    <row r="608">
      <c r="A608" s="8"/>
      <c r="B608" s="177"/>
      <c r="C608" s="8" t="str">
        <f>IF(ISBLANK(A608),"",VLOOKUP(A608,DOI_URL!$B$1:$C$74,2,FALSE()))</f>
        <v/>
      </c>
      <c r="D608" s="8"/>
      <c r="E608" s="8"/>
      <c r="J608" s="8"/>
      <c r="K608" s="8"/>
    </row>
    <row r="609">
      <c r="A609" s="8"/>
      <c r="B609" s="177"/>
      <c r="C609" s="8" t="str">
        <f>IF(ISBLANK(A609),"",VLOOKUP(A609,DOI_URL!$B$1:$C$74,2,FALSE()))</f>
        <v/>
      </c>
      <c r="D609" s="8"/>
      <c r="E609" s="8"/>
      <c r="J609" s="8"/>
      <c r="K609" s="8"/>
    </row>
    <row r="610">
      <c r="A610" s="8"/>
      <c r="B610" s="177"/>
      <c r="C610" s="8" t="str">
        <f>IF(ISBLANK(A610),"",VLOOKUP(A610,DOI_URL!$B$1:$C$74,2,FALSE()))</f>
        <v/>
      </c>
      <c r="D610" s="8"/>
      <c r="E610" s="8"/>
      <c r="J610" s="8"/>
      <c r="K610" s="8"/>
    </row>
    <row r="611">
      <c r="A611" s="8"/>
      <c r="B611" s="177"/>
      <c r="C611" s="8" t="str">
        <f>IF(ISBLANK(A611),"",VLOOKUP(A611,DOI_URL!$B$1:$C$74,2,FALSE()))</f>
        <v/>
      </c>
      <c r="D611" s="8"/>
      <c r="E611" s="8"/>
      <c r="J611" s="8"/>
      <c r="K611" s="8"/>
    </row>
    <row r="612">
      <c r="A612" s="8"/>
      <c r="B612" s="177"/>
      <c r="C612" s="8" t="str">
        <f>IF(ISBLANK(A612),"",VLOOKUP(A612,DOI_URL!$B$1:$C$74,2,FALSE()))</f>
        <v/>
      </c>
      <c r="D612" s="8"/>
      <c r="E612" s="8"/>
      <c r="J612" s="8"/>
      <c r="K612" s="8"/>
    </row>
    <row r="613">
      <c r="A613" s="8"/>
      <c r="B613" s="177"/>
      <c r="C613" s="8" t="str">
        <f>IF(ISBLANK(A613),"",VLOOKUP(A613,DOI_URL!$B$1:$C$74,2,FALSE()))</f>
        <v/>
      </c>
      <c r="D613" s="8"/>
      <c r="E613" s="8"/>
      <c r="J613" s="8"/>
      <c r="K613" s="8"/>
    </row>
    <row r="614">
      <c r="A614" s="8"/>
      <c r="B614" s="177"/>
      <c r="C614" s="8" t="str">
        <f>IF(ISBLANK(A614),"",VLOOKUP(A614,DOI_URL!$B$1:$C$74,2,FALSE()))</f>
        <v/>
      </c>
      <c r="D614" s="8"/>
      <c r="E614" s="8"/>
      <c r="J614" s="8"/>
      <c r="K614" s="8"/>
    </row>
    <row r="615">
      <c r="A615" s="8"/>
      <c r="B615" s="177"/>
      <c r="C615" s="8" t="str">
        <f>IF(ISBLANK(A615),"",VLOOKUP(A615,DOI_URL!$B$1:$C$74,2,FALSE()))</f>
        <v/>
      </c>
      <c r="D615" s="8"/>
      <c r="E615" s="8"/>
      <c r="J615" s="8"/>
      <c r="K615" s="8"/>
    </row>
    <row r="616">
      <c r="A616" s="8"/>
      <c r="B616" s="177"/>
      <c r="C616" s="8" t="str">
        <f>IF(ISBLANK(A616),"",VLOOKUP(A616,DOI_URL!$B$1:$C$74,2,FALSE()))</f>
        <v/>
      </c>
      <c r="D616" s="8"/>
      <c r="E616" s="8"/>
      <c r="J616" s="8"/>
      <c r="K616" s="8"/>
    </row>
    <row r="617">
      <c r="A617" s="8"/>
      <c r="B617" s="177"/>
      <c r="C617" s="8" t="str">
        <f>IF(ISBLANK(A617),"",VLOOKUP(A617,DOI_URL!$B$1:$C$74,2,FALSE()))</f>
        <v/>
      </c>
      <c r="D617" s="8"/>
      <c r="E617" s="8"/>
      <c r="J617" s="8"/>
      <c r="K617" s="8"/>
    </row>
    <row r="618">
      <c r="A618" s="8"/>
      <c r="B618" s="177"/>
      <c r="C618" s="8" t="str">
        <f>IF(ISBLANK(A618),"",VLOOKUP(A618,DOI_URL!$B$1:$C$74,2,FALSE()))</f>
        <v/>
      </c>
      <c r="D618" s="8"/>
      <c r="E618" s="8"/>
      <c r="J618" s="8"/>
      <c r="K618" s="8"/>
    </row>
    <row r="619">
      <c r="A619" s="8"/>
      <c r="B619" s="177"/>
      <c r="C619" s="8" t="str">
        <f>IF(ISBLANK(A619),"",VLOOKUP(A619,DOI_URL!$B$1:$C$74,2,FALSE()))</f>
        <v/>
      </c>
      <c r="D619" s="8"/>
      <c r="E619" s="8"/>
      <c r="J619" s="8"/>
      <c r="K619" s="8"/>
    </row>
    <row r="620">
      <c r="A620" s="8"/>
      <c r="B620" s="177"/>
      <c r="C620" s="8" t="str">
        <f>IF(ISBLANK(A620),"",VLOOKUP(A620,DOI_URL!$B$1:$C$74,2,FALSE()))</f>
        <v/>
      </c>
      <c r="D620" s="8"/>
      <c r="E620" s="8"/>
      <c r="J620" s="8"/>
      <c r="K620" s="8"/>
    </row>
    <row r="621">
      <c r="A621" s="8"/>
      <c r="B621" s="177"/>
      <c r="C621" s="8" t="str">
        <f>IF(ISBLANK(A621),"",VLOOKUP(A621,DOI_URL!$B$1:$C$74,2,FALSE()))</f>
        <v/>
      </c>
      <c r="D621" s="8"/>
      <c r="E621" s="8"/>
      <c r="J621" s="8"/>
      <c r="K621" s="8"/>
    </row>
    <row r="622">
      <c r="A622" s="8"/>
      <c r="B622" s="177"/>
      <c r="C622" s="8" t="str">
        <f>IF(ISBLANK(A622),"",VLOOKUP(A622,DOI_URL!$B$1:$C$74,2,FALSE()))</f>
        <v/>
      </c>
      <c r="D622" s="8"/>
      <c r="E622" s="8"/>
      <c r="J622" s="8"/>
      <c r="K622" s="8"/>
    </row>
    <row r="623">
      <c r="A623" s="8"/>
      <c r="B623" s="177"/>
      <c r="C623" s="8" t="str">
        <f>IF(ISBLANK(A623),"",VLOOKUP(A623,DOI_URL!$B$1:$C$74,2,FALSE()))</f>
        <v/>
      </c>
      <c r="D623" s="8"/>
      <c r="E623" s="8"/>
      <c r="J623" s="8"/>
      <c r="K623" s="8"/>
    </row>
    <row r="624">
      <c r="A624" s="8"/>
      <c r="B624" s="177"/>
      <c r="C624" s="8" t="str">
        <f>IF(ISBLANK(A624),"",VLOOKUP(A624,DOI_URL!$B$1:$C$74,2,FALSE()))</f>
        <v/>
      </c>
      <c r="D624" s="8"/>
      <c r="E624" s="8"/>
      <c r="J624" s="8"/>
      <c r="K624" s="8"/>
    </row>
    <row r="625">
      <c r="A625" s="8"/>
      <c r="B625" s="177"/>
      <c r="C625" s="8" t="str">
        <f>IF(ISBLANK(A625),"",VLOOKUP(A625,DOI_URL!$B$1:$C$74,2,FALSE()))</f>
        <v/>
      </c>
      <c r="D625" s="8"/>
      <c r="E625" s="8"/>
      <c r="J625" s="8"/>
      <c r="K625" s="8"/>
    </row>
    <row r="626">
      <c r="A626" s="8"/>
      <c r="B626" s="177"/>
      <c r="C626" s="8" t="str">
        <f>IF(ISBLANK(A626),"",VLOOKUP(A626,DOI_URL!$B$1:$C$74,2,FALSE()))</f>
        <v/>
      </c>
      <c r="D626" s="8"/>
      <c r="E626" s="8"/>
      <c r="J626" s="8"/>
      <c r="K626" s="8"/>
    </row>
    <row r="627">
      <c r="A627" s="8"/>
      <c r="B627" s="177"/>
      <c r="C627" s="8" t="str">
        <f>IF(ISBLANK(A627),"",VLOOKUP(A627,DOI_URL!$B$1:$C$74,2,FALSE()))</f>
        <v/>
      </c>
      <c r="D627" s="8"/>
      <c r="E627" s="8"/>
      <c r="J627" s="8"/>
      <c r="K627" s="8"/>
    </row>
    <row r="628">
      <c r="A628" s="8"/>
      <c r="B628" s="177"/>
      <c r="C628" s="8" t="str">
        <f>IF(ISBLANK(A628),"",VLOOKUP(A628,DOI_URL!$B$1:$C$74,2,FALSE()))</f>
        <v/>
      </c>
      <c r="D628" s="8"/>
      <c r="E628" s="8"/>
      <c r="J628" s="8"/>
      <c r="K628" s="8"/>
    </row>
    <row r="629">
      <c r="A629" s="8"/>
      <c r="B629" s="177"/>
      <c r="C629" s="8" t="str">
        <f>IF(ISBLANK(A629),"",VLOOKUP(A629,DOI_URL!$B$1:$C$74,2,FALSE()))</f>
        <v/>
      </c>
      <c r="D629" s="8"/>
      <c r="E629" s="8"/>
      <c r="J629" s="8"/>
      <c r="K629" s="8"/>
    </row>
    <row r="630">
      <c r="A630" s="8"/>
      <c r="B630" s="177"/>
      <c r="C630" s="8" t="str">
        <f>IF(ISBLANK(A630),"",VLOOKUP(A630,DOI_URL!$B$1:$C$74,2,FALSE()))</f>
        <v/>
      </c>
      <c r="D630" s="8"/>
      <c r="E630" s="8"/>
      <c r="J630" s="8"/>
      <c r="K630" s="8"/>
    </row>
    <row r="631">
      <c r="A631" s="8"/>
      <c r="B631" s="177"/>
      <c r="C631" s="8" t="str">
        <f>IF(ISBLANK(A631),"",VLOOKUP(A631,DOI_URL!$B$1:$C$74,2,FALSE()))</f>
        <v/>
      </c>
      <c r="D631" s="8"/>
      <c r="E631" s="8"/>
      <c r="J631" s="8"/>
      <c r="K631" s="8"/>
    </row>
    <row r="632">
      <c r="A632" s="8"/>
      <c r="B632" s="177"/>
      <c r="C632" s="8" t="str">
        <f>IF(ISBLANK(A632),"",VLOOKUP(A632,DOI_URL!$B$1:$C$74,2,FALSE()))</f>
        <v/>
      </c>
      <c r="D632" s="8"/>
      <c r="E632" s="8"/>
      <c r="J632" s="8"/>
      <c r="K632" s="8"/>
    </row>
    <row r="633">
      <c r="A633" s="8"/>
      <c r="B633" s="177"/>
      <c r="C633" s="8" t="str">
        <f>IF(ISBLANK(A633),"",VLOOKUP(A633,DOI_URL!$B$1:$C$74,2,FALSE()))</f>
        <v/>
      </c>
      <c r="D633" s="8"/>
      <c r="E633" s="8"/>
      <c r="J633" s="8"/>
      <c r="K633" s="8"/>
    </row>
    <row r="634">
      <c r="A634" s="8"/>
      <c r="B634" s="177"/>
      <c r="C634" s="8" t="str">
        <f>IF(ISBLANK(A634),"",VLOOKUP(A634,DOI_URL!$B$1:$C$74,2,FALSE()))</f>
        <v/>
      </c>
      <c r="D634" s="8"/>
      <c r="E634" s="8"/>
      <c r="J634" s="8"/>
      <c r="K634" s="8"/>
    </row>
    <row r="635">
      <c r="A635" s="8"/>
      <c r="B635" s="177"/>
      <c r="C635" s="8" t="str">
        <f>IF(ISBLANK(A635),"",VLOOKUP(A635,DOI_URL!$B$1:$C$74,2,FALSE()))</f>
        <v/>
      </c>
      <c r="D635" s="8"/>
      <c r="E635" s="8"/>
      <c r="J635" s="8"/>
      <c r="K635" s="8"/>
    </row>
    <row r="636">
      <c r="A636" s="8"/>
      <c r="B636" s="177"/>
      <c r="C636" s="8" t="str">
        <f>IF(ISBLANK(A636),"",VLOOKUP(A636,DOI_URL!$B$1:$C$74,2,FALSE()))</f>
        <v/>
      </c>
      <c r="D636" s="8"/>
      <c r="E636" s="8"/>
      <c r="J636" s="8"/>
      <c r="K636" s="8"/>
    </row>
    <row r="637">
      <c r="A637" s="8"/>
      <c r="B637" s="177"/>
      <c r="C637" s="8" t="str">
        <f>IF(ISBLANK(A637),"",VLOOKUP(A637,DOI_URL!$B$1:$C$74,2,FALSE()))</f>
        <v/>
      </c>
      <c r="D637" s="8"/>
      <c r="E637" s="8"/>
      <c r="J637" s="8"/>
      <c r="K637" s="8"/>
    </row>
    <row r="638">
      <c r="A638" s="8"/>
      <c r="B638" s="177"/>
      <c r="C638" s="8" t="str">
        <f>IF(ISBLANK(A638),"",VLOOKUP(A638,DOI_URL!$B$1:$C$74,2,FALSE()))</f>
        <v/>
      </c>
      <c r="D638" s="8"/>
      <c r="E638" s="8"/>
      <c r="J638" s="8"/>
      <c r="K638" s="8"/>
    </row>
    <row r="639">
      <c r="A639" s="8"/>
      <c r="B639" s="177"/>
      <c r="C639" s="8" t="str">
        <f>IF(ISBLANK(A639),"",VLOOKUP(A639,DOI_URL!$B$1:$C$74,2,FALSE()))</f>
        <v/>
      </c>
      <c r="D639" s="8"/>
      <c r="E639" s="8"/>
      <c r="J639" s="8"/>
      <c r="K639" s="8"/>
    </row>
    <row r="640">
      <c r="A640" s="8"/>
      <c r="B640" s="177"/>
      <c r="C640" s="8" t="str">
        <f>IF(ISBLANK(A640),"",VLOOKUP(A640,DOI_URL!$B$1:$C$74,2,FALSE()))</f>
        <v/>
      </c>
      <c r="D640" s="8"/>
      <c r="E640" s="8"/>
      <c r="J640" s="8"/>
      <c r="K640" s="8"/>
    </row>
    <row r="641">
      <c r="A641" s="8"/>
      <c r="B641" s="177"/>
      <c r="C641" s="8" t="str">
        <f>IF(ISBLANK(A641),"",VLOOKUP(A641,DOI_URL!$B$1:$C$74,2,FALSE()))</f>
        <v/>
      </c>
      <c r="D641" s="8"/>
      <c r="E641" s="8"/>
      <c r="J641" s="8"/>
      <c r="K641" s="8"/>
    </row>
    <row r="642">
      <c r="A642" s="8"/>
      <c r="B642" s="177"/>
      <c r="C642" s="8" t="str">
        <f>IF(ISBLANK(A642),"",VLOOKUP(A642,DOI_URL!$B$1:$C$74,2,FALSE()))</f>
        <v/>
      </c>
      <c r="D642" s="8"/>
      <c r="E642" s="8"/>
      <c r="J642" s="8"/>
      <c r="K642" s="8"/>
    </row>
    <row r="643">
      <c r="A643" s="8"/>
      <c r="B643" s="177"/>
      <c r="C643" s="8" t="str">
        <f>IF(ISBLANK(A643),"",VLOOKUP(A643,DOI_URL!$B$1:$C$74,2,FALSE()))</f>
        <v/>
      </c>
      <c r="D643" s="8"/>
      <c r="E643" s="8"/>
      <c r="J643" s="8"/>
      <c r="K643" s="8"/>
    </row>
    <row r="644">
      <c r="A644" s="8"/>
      <c r="B644" s="177"/>
      <c r="C644" s="8" t="str">
        <f>IF(ISBLANK(A644),"",VLOOKUP(A644,DOI_URL!$B$1:$C$74,2,FALSE()))</f>
        <v/>
      </c>
      <c r="D644" s="8"/>
      <c r="E644" s="8"/>
      <c r="J644" s="8"/>
      <c r="K644" s="8"/>
    </row>
    <row r="645">
      <c r="A645" s="8"/>
      <c r="B645" s="177"/>
      <c r="C645" s="8" t="str">
        <f>IF(ISBLANK(A645),"",VLOOKUP(A645,DOI_URL!$B$1:$C$74,2,FALSE()))</f>
        <v/>
      </c>
      <c r="D645" s="8"/>
      <c r="E645" s="8"/>
      <c r="J645" s="8"/>
      <c r="K645" s="8"/>
    </row>
    <row r="646">
      <c r="A646" s="8"/>
      <c r="B646" s="177"/>
      <c r="C646" s="8" t="str">
        <f>IF(ISBLANK(A646),"",VLOOKUP(A646,DOI_URL!$B$1:$C$74,2,FALSE()))</f>
        <v/>
      </c>
      <c r="D646" s="8"/>
      <c r="E646" s="8"/>
      <c r="J646" s="8"/>
      <c r="K646" s="8"/>
    </row>
    <row r="647">
      <c r="A647" s="8"/>
      <c r="B647" s="177"/>
      <c r="C647" s="8" t="str">
        <f>IF(ISBLANK(A647),"",VLOOKUP(A647,DOI_URL!$B$1:$C$74,2,FALSE()))</f>
        <v/>
      </c>
      <c r="D647" s="8"/>
      <c r="E647" s="8"/>
      <c r="J647" s="8"/>
      <c r="K647" s="8"/>
    </row>
    <row r="648">
      <c r="A648" s="8"/>
      <c r="B648" s="177"/>
      <c r="C648" s="8" t="str">
        <f>IF(ISBLANK(A648),"",VLOOKUP(A648,DOI_URL!$B$1:$C$74,2,FALSE()))</f>
        <v/>
      </c>
      <c r="D648" s="8"/>
      <c r="E648" s="8"/>
      <c r="J648" s="8"/>
      <c r="K648" s="8"/>
    </row>
    <row r="649">
      <c r="A649" s="8"/>
      <c r="B649" s="177"/>
      <c r="C649" s="8" t="str">
        <f>IF(ISBLANK(A649),"",VLOOKUP(A649,DOI_URL!$B$1:$C$74,2,FALSE()))</f>
        <v/>
      </c>
      <c r="D649" s="8"/>
      <c r="E649" s="8"/>
      <c r="J649" s="8"/>
      <c r="K649" s="8"/>
    </row>
    <row r="650">
      <c r="A650" s="8"/>
      <c r="B650" s="177"/>
      <c r="C650" s="8" t="str">
        <f>IF(ISBLANK(A650),"",VLOOKUP(A650,DOI_URL!$B$1:$C$74,2,FALSE()))</f>
        <v/>
      </c>
      <c r="D650" s="8"/>
      <c r="E650" s="8"/>
      <c r="J650" s="8"/>
      <c r="K650" s="8"/>
    </row>
    <row r="651">
      <c r="A651" s="8"/>
      <c r="B651" s="177"/>
      <c r="C651" s="8" t="str">
        <f>IF(ISBLANK(A651),"",VLOOKUP(A651,DOI_URL!$B$1:$C$74,2,FALSE()))</f>
        <v/>
      </c>
      <c r="D651" s="8"/>
      <c r="E651" s="8"/>
      <c r="J651" s="8"/>
      <c r="K651" s="8"/>
    </row>
    <row r="652">
      <c r="A652" s="8"/>
      <c r="B652" s="177"/>
      <c r="C652" s="8" t="str">
        <f>IF(ISBLANK(A652),"",VLOOKUP(A652,DOI_URL!$B$1:$C$74,2,FALSE()))</f>
        <v/>
      </c>
      <c r="D652" s="8"/>
      <c r="E652" s="8"/>
      <c r="J652" s="8"/>
      <c r="K652" s="8"/>
    </row>
    <row r="653">
      <c r="A653" s="8"/>
      <c r="B653" s="177"/>
      <c r="C653" s="8" t="str">
        <f>IF(ISBLANK(A653),"",VLOOKUP(A653,DOI_URL!$B$1:$C$74,2,FALSE()))</f>
        <v/>
      </c>
      <c r="D653" s="8"/>
      <c r="E653" s="8"/>
      <c r="J653" s="8"/>
      <c r="K653" s="8"/>
    </row>
    <row r="654">
      <c r="A654" s="8"/>
      <c r="B654" s="177"/>
      <c r="C654" s="8" t="str">
        <f>IF(ISBLANK(A654),"",VLOOKUP(A654,DOI_URL!$B$1:$C$74,2,FALSE()))</f>
        <v/>
      </c>
      <c r="D654" s="8"/>
      <c r="E654" s="8"/>
      <c r="J654" s="8"/>
      <c r="K654" s="8"/>
    </row>
    <row r="655">
      <c r="A655" s="8"/>
      <c r="B655" s="177"/>
      <c r="C655" s="8" t="str">
        <f>IF(ISBLANK(A655),"",VLOOKUP(A655,DOI_URL!$B$1:$C$74,2,FALSE()))</f>
        <v/>
      </c>
      <c r="D655" s="8"/>
      <c r="E655" s="8"/>
      <c r="J655" s="8"/>
      <c r="K655" s="8"/>
    </row>
    <row r="656">
      <c r="A656" s="8"/>
      <c r="B656" s="177"/>
      <c r="C656" s="8" t="str">
        <f>IF(ISBLANK(A656),"",VLOOKUP(A656,DOI_URL!$B$1:$C$74,2,FALSE()))</f>
        <v/>
      </c>
      <c r="D656" s="8"/>
      <c r="E656" s="8"/>
      <c r="J656" s="8"/>
      <c r="K656" s="8"/>
    </row>
    <row r="657">
      <c r="A657" s="8"/>
      <c r="B657" s="177"/>
      <c r="C657" s="8" t="str">
        <f>IF(ISBLANK(A657),"",VLOOKUP(A657,DOI_URL!$B$1:$C$74,2,FALSE()))</f>
        <v/>
      </c>
      <c r="D657" s="8"/>
      <c r="E657" s="8"/>
      <c r="J657" s="8"/>
      <c r="K657" s="8"/>
    </row>
    <row r="658">
      <c r="A658" s="8"/>
      <c r="B658" s="177"/>
      <c r="C658" s="8" t="str">
        <f>IF(ISBLANK(A658),"",VLOOKUP(A658,DOI_URL!$B$1:$C$74,2,FALSE()))</f>
        <v/>
      </c>
      <c r="D658" s="8"/>
      <c r="E658" s="8"/>
      <c r="J658" s="8"/>
      <c r="K658" s="8"/>
    </row>
    <row r="659">
      <c r="A659" s="8"/>
      <c r="B659" s="177"/>
      <c r="C659" s="8" t="str">
        <f>IF(ISBLANK(A659),"",VLOOKUP(A659,DOI_URL!$B$1:$C$74,2,FALSE()))</f>
        <v/>
      </c>
      <c r="D659" s="8"/>
      <c r="E659" s="8"/>
      <c r="J659" s="8"/>
      <c r="K659" s="8"/>
    </row>
    <row r="660">
      <c r="A660" s="8"/>
      <c r="B660" s="177"/>
      <c r="C660" s="8" t="str">
        <f>IF(ISBLANK(A660),"",VLOOKUP(A660,DOI_URL!$B$1:$C$74,2,FALSE()))</f>
        <v/>
      </c>
      <c r="D660" s="8"/>
      <c r="E660" s="8"/>
      <c r="J660" s="8"/>
      <c r="K660" s="8"/>
    </row>
    <row r="661">
      <c r="A661" s="8"/>
      <c r="B661" s="177"/>
      <c r="C661" s="8" t="str">
        <f>IF(ISBLANK(A661),"",VLOOKUP(A661,DOI_URL!$B$1:$C$74,2,FALSE()))</f>
        <v/>
      </c>
      <c r="D661" s="8"/>
      <c r="E661" s="8"/>
      <c r="J661" s="8"/>
      <c r="K661" s="8"/>
    </row>
    <row r="662">
      <c r="A662" s="8"/>
      <c r="B662" s="177"/>
      <c r="C662" s="8" t="str">
        <f>IF(ISBLANK(A662),"",VLOOKUP(A662,DOI_URL!$B$1:$C$74,2,FALSE()))</f>
        <v/>
      </c>
      <c r="D662" s="8"/>
      <c r="E662" s="8"/>
      <c r="J662" s="8"/>
      <c r="K662" s="8"/>
    </row>
    <row r="663">
      <c r="A663" s="8"/>
      <c r="B663" s="177"/>
      <c r="C663" s="8" t="str">
        <f>IF(ISBLANK(A663),"",VLOOKUP(A663,DOI_URL!$B$1:$C$74,2,FALSE()))</f>
        <v/>
      </c>
      <c r="D663" s="8"/>
      <c r="E663" s="8"/>
      <c r="J663" s="8"/>
      <c r="K663" s="8"/>
    </row>
    <row r="664">
      <c r="A664" s="8"/>
      <c r="B664" s="177"/>
      <c r="C664" s="8" t="str">
        <f>IF(ISBLANK(A664),"",VLOOKUP(A664,DOI_URL!$B$1:$C$74,2,FALSE()))</f>
        <v/>
      </c>
      <c r="D664" s="8"/>
      <c r="E664" s="8"/>
      <c r="J664" s="8"/>
      <c r="K664" s="8"/>
    </row>
    <row r="665">
      <c r="A665" s="8"/>
      <c r="B665" s="177"/>
      <c r="C665" s="8" t="str">
        <f>IF(ISBLANK(A665),"",VLOOKUP(A665,DOI_URL!$B$1:$C$74,2,FALSE()))</f>
        <v/>
      </c>
      <c r="D665" s="8"/>
      <c r="E665" s="8"/>
      <c r="J665" s="8"/>
      <c r="K665" s="8"/>
    </row>
    <row r="666">
      <c r="A666" s="8"/>
      <c r="B666" s="177"/>
      <c r="C666" s="8" t="str">
        <f>IF(ISBLANK(A666),"",VLOOKUP(A666,DOI_URL!$B$1:$C$74,2,FALSE()))</f>
        <v/>
      </c>
      <c r="D666" s="8"/>
      <c r="E666" s="8"/>
      <c r="J666" s="8"/>
      <c r="K666" s="8"/>
    </row>
    <row r="667">
      <c r="A667" s="8"/>
      <c r="B667" s="177"/>
      <c r="C667" s="8" t="str">
        <f>IF(ISBLANK(A667),"",VLOOKUP(A667,DOI_URL!$B$1:$C$74,2,FALSE()))</f>
        <v/>
      </c>
      <c r="D667" s="8"/>
      <c r="E667" s="8"/>
      <c r="J667" s="8"/>
      <c r="K667" s="8"/>
    </row>
    <row r="668">
      <c r="A668" s="8"/>
      <c r="B668" s="177"/>
      <c r="C668" s="8" t="str">
        <f>IF(ISBLANK(A668),"",VLOOKUP(A668,DOI_URL!$B$1:$C$74,2,FALSE()))</f>
        <v/>
      </c>
      <c r="D668" s="8"/>
      <c r="E668" s="8"/>
      <c r="J668" s="8"/>
      <c r="K668" s="8"/>
    </row>
    <row r="669">
      <c r="A669" s="8"/>
      <c r="B669" s="177"/>
      <c r="C669" s="8" t="str">
        <f>IF(ISBLANK(A669),"",VLOOKUP(A669,DOI_URL!$B$1:$C$74,2,FALSE()))</f>
        <v/>
      </c>
      <c r="D669" s="8"/>
      <c r="E669" s="8"/>
      <c r="J669" s="8"/>
      <c r="K669" s="8"/>
    </row>
    <row r="670">
      <c r="A670" s="8"/>
      <c r="B670" s="177"/>
      <c r="C670" s="8" t="str">
        <f>IF(ISBLANK(A670),"",VLOOKUP(A670,DOI_URL!$B$1:$C$74,2,FALSE()))</f>
        <v/>
      </c>
      <c r="D670" s="8"/>
      <c r="E670" s="8"/>
      <c r="J670" s="8"/>
      <c r="K670" s="8"/>
    </row>
    <row r="671">
      <c r="A671" s="8"/>
      <c r="B671" s="177"/>
      <c r="C671" s="8" t="str">
        <f>IF(ISBLANK(A671),"",VLOOKUP(A671,DOI_URL!$B$1:$C$74,2,FALSE()))</f>
        <v/>
      </c>
      <c r="D671" s="8"/>
      <c r="E671" s="8"/>
      <c r="J671" s="8"/>
      <c r="K671" s="8"/>
    </row>
    <row r="672">
      <c r="A672" s="8"/>
      <c r="B672" s="177"/>
      <c r="C672" s="8" t="str">
        <f>IF(ISBLANK(A672),"",VLOOKUP(A672,DOI_URL!$B$1:$C$74,2,FALSE()))</f>
        <v/>
      </c>
      <c r="D672" s="8"/>
      <c r="E672" s="8"/>
      <c r="J672" s="8"/>
      <c r="K672" s="8"/>
    </row>
    <row r="673">
      <c r="A673" s="8"/>
      <c r="B673" s="177"/>
      <c r="C673" s="8" t="str">
        <f>IF(ISBLANK(A673),"",VLOOKUP(A673,DOI_URL!$B$1:$C$74,2,FALSE()))</f>
        <v/>
      </c>
      <c r="D673" s="8"/>
      <c r="E673" s="8"/>
      <c r="J673" s="8"/>
      <c r="K673" s="8"/>
    </row>
    <row r="674">
      <c r="A674" s="8"/>
      <c r="B674" s="177"/>
      <c r="C674" s="8" t="str">
        <f>IF(ISBLANK(A674),"",VLOOKUP(A674,DOI_URL!$B$1:$C$74,2,FALSE()))</f>
        <v/>
      </c>
      <c r="D674" s="8"/>
      <c r="E674" s="8"/>
      <c r="J674" s="8"/>
      <c r="K674" s="8"/>
    </row>
    <row r="675">
      <c r="A675" s="8"/>
      <c r="B675" s="177"/>
      <c r="C675" s="8" t="str">
        <f>IF(ISBLANK(A675),"",VLOOKUP(A675,DOI_URL!$B$1:$C$74,2,FALSE()))</f>
        <v/>
      </c>
      <c r="D675" s="8"/>
      <c r="E675" s="8"/>
      <c r="J675" s="8"/>
      <c r="K675" s="8"/>
    </row>
    <row r="676">
      <c r="A676" s="8"/>
      <c r="B676" s="177"/>
      <c r="C676" s="8" t="str">
        <f>IF(ISBLANK(A676),"",VLOOKUP(A676,DOI_URL!$B$1:$C$74,2,FALSE()))</f>
        <v/>
      </c>
      <c r="D676" s="8"/>
      <c r="E676" s="8"/>
      <c r="J676" s="8"/>
      <c r="K676" s="8"/>
    </row>
    <row r="677">
      <c r="A677" s="8"/>
      <c r="B677" s="177"/>
      <c r="C677" s="8" t="str">
        <f>IF(ISBLANK(A677),"",VLOOKUP(A677,DOI_URL!$B$1:$C$74,2,FALSE()))</f>
        <v/>
      </c>
      <c r="D677" s="8"/>
      <c r="E677" s="8"/>
      <c r="J677" s="8"/>
      <c r="K677" s="8"/>
    </row>
    <row r="678">
      <c r="A678" s="8"/>
      <c r="B678" s="177"/>
      <c r="C678" s="8" t="str">
        <f>IF(ISBLANK(A678),"",VLOOKUP(A678,DOI_URL!$B$1:$C$74,2,FALSE()))</f>
        <v/>
      </c>
      <c r="D678" s="8"/>
      <c r="E678" s="8"/>
      <c r="J678" s="8"/>
      <c r="K678" s="8"/>
    </row>
    <row r="679">
      <c r="A679" s="8"/>
      <c r="B679" s="177"/>
      <c r="C679" s="8" t="str">
        <f>IF(ISBLANK(A679),"",VLOOKUP(A679,DOI_URL!$B$1:$C$74,2,FALSE()))</f>
        <v/>
      </c>
      <c r="D679" s="8"/>
      <c r="E679" s="8"/>
      <c r="J679" s="8"/>
      <c r="K679" s="8"/>
    </row>
    <row r="680">
      <c r="A680" s="8"/>
      <c r="B680" s="177"/>
      <c r="C680" s="8" t="str">
        <f>IF(ISBLANK(A680),"",VLOOKUP(A680,DOI_URL!$B$1:$C$74,2,FALSE()))</f>
        <v/>
      </c>
      <c r="D680" s="8"/>
      <c r="E680" s="8"/>
      <c r="J680" s="8"/>
      <c r="K680" s="8"/>
    </row>
    <row r="681">
      <c r="A681" s="8"/>
      <c r="B681" s="177"/>
      <c r="C681" s="8" t="str">
        <f>IF(ISBLANK(A681),"",VLOOKUP(A681,DOI_URL!$B$1:$C$74,2,FALSE()))</f>
        <v/>
      </c>
      <c r="D681" s="8"/>
      <c r="E681" s="8"/>
      <c r="J681" s="8"/>
      <c r="K681" s="8"/>
    </row>
    <row r="682">
      <c r="A682" s="8"/>
      <c r="B682" s="177"/>
      <c r="C682" s="8" t="str">
        <f>IF(ISBLANK(A682),"",VLOOKUP(A682,DOI_URL!$B$1:$C$74,2,FALSE()))</f>
        <v/>
      </c>
      <c r="D682" s="8"/>
      <c r="E682" s="8"/>
      <c r="J682" s="8"/>
      <c r="K682" s="8"/>
    </row>
    <row r="683">
      <c r="A683" s="8"/>
      <c r="B683" s="177"/>
      <c r="C683" s="8" t="str">
        <f>IF(ISBLANK(A683),"",VLOOKUP(A683,DOI_URL!$B$1:$C$74,2,FALSE()))</f>
        <v/>
      </c>
      <c r="D683" s="8"/>
      <c r="E683" s="8"/>
      <c r="J683" s="8"/>
      <c r="K683" s="8"/>
    </row>
    <row r="684">
      <c r="A684" s="8"/>
      <c r="B684" s="177"/>
      <c r="C684" s="8" t="str">
        <f>IF(ISBLANK(A684),"",VLOOKUP(A684,DOI_URL!$B$1:$C$74,2,FALSE()))</f>
        <v/>
      </c>
      <c r="D684" s="8"/>
      <c r="E684" s="8"/>
      <c r="J684" s="8"/>
      <c r="K684" s="8"/>
    </row>
    <row r="685">
      <c r="A685" s="8"/>
      <c r="B685" s="177"/>
      <c r="C685" s="8" t="str">
        <f>IF(ISBLANK(A685),"",VLOOKUP(A685,DOI_URL!$B$1:$C$74,2,FALSE()))</f>
        <v/>
      </c>
      <c r="D685" s="8"/>
      <c r="E685" s="8"/>
      <c r="J685" s="8"/>
      <c r="K685" s="8"/>
    </row>
    <row r="686">
      <c r="A686" s="8"/>
      <c r="B686" s="177"/>
      <c r="C686" s="8" t="str">
        <f>IF(ISBLANK(A686),"",VLOOKUP(A686,DOI_URL!$B$1:$C$74,2,FALSE()))</f>
        <v/>
      </c>
      <c r="D686" s="8"/>
      <c r="E686" s="8"/>
      <c r="J686" s="8"/>
      <c r="K686" s="8"/>
    </row>
    <row r="687">
      <c r="A687" s="8"/>
      <c r="B687" s="177"/>
      <c r="C687" s="8" t="str">
        <f>IF(ISBLANK(A687),"",VLOOKUP(A687,DOI_URL!$B$1:$C$74,2,FALSE()))</f>
        <v/>
      </c>
      <c r="D687" s="8"/>
      <c r="E687" s="8"/>
      <c r="J687" s="8"/>
      <c r="K687" s="8"/>
    </row>
    <row r="688">
      <c r="A688" s="8"/>
      <c r="B688" s="177"/>
      <c r="C688" s="8" t="str">
        <f>IF(ISBLANK(A688),"",VLOOKUP(A688,DOI_URL!$B$1:$C$74,2,FALSE()))</f>
        <v/>
      </c>
      <c r="D688" s="8"/>
      <c r="E688" s="8"/>
      <c r="J688" s="8"/>
      <c r="K688" s="8"/>
    </row>
    <row r="689">
      <c r="A689" s="8"/>
      <c r="B689" s="177"/>
      <c r="C689" s="8" t="str">
        <f>IF(ISBLANK(A689),"",VLOOKUP(A689,DOI_URL!$B$1:$C$74,2,FALSE()))</f>
        <v/>
      </c>
      <c r="D689" s="8"/>
      <c r="E689" s="8"/>
      <c r="J689" s="8"/>
      <c r="K689" s="8"/>
    </row>
    <row r="690">
      <c r="A690" s="8"/>
      <c r="B690" s="177"/>
      <c r="C690" s="8" t="str">
        <f>IF(ISBLANK(A690),"",VLOOKUP(A690,DOI_URL!$B$1:$C$74,2,FALSE()))</f>
        <v/>
      </c>
      <c r="D690" s="8"/>
      <c r="E690" s="8"/>
      <c r="J690" s="8"/>
      <c r="K690" s="8"/>
    </row>
    <row r="691">
      <c r="A691" s="8"/>
      <c r="B691" s="177"/>
      <c r="C691" s="8" t="str">
        <f>IF(ISBLANK(A691),"",VLOOKUP(A691,DOI_URL!$B$1:$C$74,2,FALSE()))</f>
        <v/>
      </c>
      <c r="D691" s="8"/>
      <c r="E691" s="8"/>
      <c r="J691" s="8"/>
      <c r="K691" s="8"/>
    </row>
    <row r="692">
      <c r="A692" s="8"/>
      <c r="B692" s="177"/>
      <c r="C692" s="8" t="str">
        <f>IF(ISBLANK(A692),"",VLOOKUP(A692,DOI_URL!$B$1:$C$74,2,FALSE()))</f>
        <v/>
      </c>
      <c r="D692" s="8"/>
      <c r="E692" s="8"/>
      <c r="J692" s="8"/>
      <c r="K692" s="8"/>
    </row>
    <row r="693">
      <c r="A693" s="8"/>
      <c r="B693" s="177"/>
      <c r="C693" s="8" t="str">
        <f>IF(ISBLANK(A693),"",VLOOKUP(A693,DOI_URL!$B$1:$C$74,2,FALSE()))</f>
        <v/>
      </c>
      <c r="D693" s="8"/>
      <c r="E693" s="8"/>
      <c r="J693" s="8"/>
      <c r="K693" s="8"/>
    </row>
    <row r="694">
      <c r="A694" s="8"/>
      <c r="B694" s="177"/>
      <c r="C694" s="8" t="str">
        <f>IF(ISBLANK(A694),"",VLOOKUP(A694,DOI_URL!$B$1:$C$74,2,FALSE()))</f>
        <v/>
      </c>
      <c r="D694" s="8"/>
      <c r="E694" s="8"/>
      <c r="J694" s="8"/>
      <c r="K694" s="8"/>
    </row>
    <row r="695">
      <c r="A695" s="8"/>
      <c r="B695" s="177"/>
      <c r="C695" s="8" t="str">
        <f>IF(ISBLANK(A695),"",VLOOKUP(A695,DOI_URL!$B$1:$C$74,2,FALSE()))</f>
        <v/>
      </c>
      <c r="D695" s="8"/>
      <c r="E695" s="8"/>
      <c r="J695" s="8"/>
      <c r="K695" s="8"/>
    </row>
    <row r="696">
      <c r="A696" s="8"/>
      <c r="B696" s="177"/>
      <c r="C696" s="8" t="str">
        <f>IF(ISBLANK(A696),"",VLOOKUP(A696,DOI_URL!$B$1:$C$74,2,FALSE()))</f>
        <v/>
      </c>
      <c r="D696" s="8"/>
      <c r="E696" s="8"/>
      <c r="J696" s="8"/>
      <c r="K696" s="8"/>
    </row>
    <row r="697">
      <c r="A697" s="8"/>
      <c r="B697" s="177"/>
      <c r="C697" s="8" t="str">
        <f>IF(ISBLANK(A697),"",VLOOKUP(A697,DOI_URL!$B$1:$C$74,2,FALSE()))</f>
        <v/>
      </c>
      <c r="D697" s="8"/>
      <c r="E697" s="8"/>
      <c r="J697" s="8"/>
      <c r="K697" s="8"/>
    </row>
    <row r="698">
      <c r="A698" s="8"/>
      <c r="B698" s="177"/>
      <c r="C698" s="8" t="str">
        <f>IF(ISBLANK(A698),"",VLOOKUP(A698,DOI_URL!$B$1:$C$74,2,FALSE()))</f>
        <v/>
      </c>
      <c r="D698" s="8"/>
      <c r="E698" s="8"/>
      <c r="J698" s="8"/>
      <c r="K698" s="8"/>
    </row>
    <row r="699">
      <c r="A699" s="8"/>
      <c r="B699" s="177"/>
      <c r="C699" s="8" t="str">
        <f>IF(ISBLANK(A699),"",VLOOKUP(A699,DOI_URL!$B$1:$C$74,2,FALSE()))</f>
        <v/>
      </c>
      <c r="D699" s="8"/>
      <c r="E699" s="8"/>
      <c r="J699" s="8"/>
      <c r="K699" s="8"/>
    </row>
    <row r="700">
      <c r="A700" s="8"/>
      <c r="B700" s="177"/>
      <c r="C700" s="8" t="str">
        <f>IF(ISBLANK(A700),"",VLOOKUP(A700,DOI_URL!$B$1:$C$74,2,FALSE()))</f>
        <v/>
      </c>
      <c r="D700" s="8"/>
      <c r="E700" s="8"/>
      <c r="J700" s="8"/>
      <c r="K700" s="8"/>
    </row>
    <row r="701">
      <c r="A701" s="8"/>
      <c r="B701" s="177"/>
      <c r="C701" s="8" t="str">
        <f>IF(ISBLANK(A701),"",VLOOKUP(A701,DOI_URL!$B$1:$C$74,2,FALSE()))</f>
        <v/>
      </c>
      <c r="D701" s="8"/>
      <c r="E701" s="8"/>
      <c r="J701" s="8"/>
      <c r="K701" s="8"/>
    </row>
    <row r="702">
      <c r="A702" s="8"/>
      <c r="B702" s="177"/>
      <c r="C702" s="8" t="str">
        <f>IF(ISBLANK(A702),"",VLOOKUP(A702,DOI_URL!$B$1:$C$74,2,FALSE()))</f>
        <v/>
      </c>
      <c r="D702" s="8"/>
      <c r="E702" s="8"/>
      <c r="J702" s="8"/>
      <c r="K702" s="8"/>
    </row>
    <row r="703">
      <c r="A703" s="8"/>
      <c r="B703" s="177"/>
      <c r="C703" s="8" t="str">
        <f>IF(ISBLANK(A703),"",VLOOKUP(A703,DOI_URL!$B$1:$C$74,2,FALSE()))</f>
        <v/>
      </c>
      <c r="D703" s="8"/>
      <c r="E703" s="8"/>
      <c r="J703" s="8"/>
      <c r="K703" s="8"/>
    </row>
    <row r="704">
      <c r="A704" s="8"/>
      <c r="B704" s="177"/>
      <c r="C704" s="8" t="str">
        <f>IF(ISBLANK(A704),"",VLOOKUP(A704,DOI_URL!$B$1:$C$74,2,FALSE()))</f>
        <v/>
      </c>
      <c r="D704" s="8"/>
      <c r="E704" s="8"/>
      <c r="J704" s="8"/>
      <c r="K704" s="8"/>
    </row>
    <row r="705">
      <c r="A705" s="8"/>
      <c r="B705" s="177"/>
      <c r="C705" s="8" t="str">
        <f>IF(ISBLANK(A705),"",VLOOKUP(A705,DOI_URL!$B$1:$C$74,2,FALSE()))</f>
        <v/>
      </c>
      <c r="D705" s="8"/>
      <c r="E705" s="8"/>
      <c r="J705" s="8"/>
      <c r="K705" s="8"/>
    </row>
    <row r="706">
      <c r="A706" s="8"/>
      <c r="B706" s="177"/>
      <c r="C706" s="8" t="str">
        <f>IF(ISBLANK(A706),"",VLOOKUP(A706,DOI_URL!$B$1:$C$74,2,FALSE()))</f>
        <v/>
      </c>
      <c r="D706" s="8"/>
      <c r="E706" s="8"/>
      <c r="J706" s="8"/>
      <c r="K706" s="8"/>
    </row>
    <row r="707">
      <c r="A707" s="8"/>
      <c r="B707" s="177"/>
      <c r="C707" s="8" t="str">
        <f>IF(ISBLANK(A707),"",VLOOKUP(A707,DOI_URL!$B$1:$C$74,2,FALSE()))</f>
        <v/>
      </c>
      <c r="D707" s="8"/>
      <c r="E707" s="8"/>
      <c r="J707" s="8"/>
      <c r="K707" s="8"/>
    </row>
    <row r="708">
      <c r="A708" s="8"/>
      <c r="B708" s="177"/>
      <c r="C708" s="8" t="str">
        <f>IF(ISBLANK(A708),"",VLOOKUP(A708,DOI_URL!$B$1:$C$74,2,FALSE()))</f>
        <v/>
      </c>
      <c r="D708" s="8"/>
      <c r="E708" s="8"/>
      <c r="J708" s="8"/>
      <c r="K708" s="8"/>
    </row>
    <row r="709">
      <c r="A709" s="8"/>
      <c r="B709" s="177"/>
      <c r="C709" s="8" t="str">
        <f>IF(ISBLANK(A709),"",VLOOKUP(A709,DOI_URL!$B$1:$C$74,2,FALSE()))</f>
        <v/>
      </c>
      <c r="D709" s="8"/>
      <c r="E709" s="8"/>
      <c r="J709" s="8"/>
      <c r="K709" s="8"/>
    </row>
    <row r="710">
      <c r="A710" s="8"/>
      <c r="B710" s="177"/>
      <c r="C710" s="8" t="str">
        <f>IF(ISBLANK(A710),"",VLOOKUP(A710,DOI_URL!$B$1:$C$74,2,FALSE()))</f>
        <v/>
      </c>
      <c r="D710" s="8"/>
      <c r="E710" s="8"/>
      <c r="J710" s="8"/>
      <c r="K710" s="8"/>
    </row>
    <row r="711">
      <c r="A711" s="8"/>
      <c r="B711" s="177"/>
      <c r="C711" s="8" t="str">
        <f>IF(ISBLANK(A711),"",VLOOKUP(A711,DOI_URL!$B$1:$C$74,2,FALSE()))</f>
        <v/>
      </c>
      <c r="D711" s="8"/>
      <c r="E711" s="8"/>
      <c r="J711" s="8"/>
      <c r="K711" s="8"/>
    </row>
    <row r="712">
      <c r="A712" s="8"/>
      <c r="B712" s="177"/>
      <c r="C712" s="8" t="str">
        <f>IF(ISBLANK(A712),"",VLOOKUP(A712,DOI_URL!$B$1:$C$74,2,FALSE()))</f>
        <v/>
      </c>
      <c r="D712" s="8"/>
      <c r="E712" s="8"/>
      <c r="J712" s="8"/>
      <c r="K712" s="8"/>
    </row>
    <row r="713">
      <c r="A713" s="8"/>
      <c r="B713" s="177"/>
      <c r="C713" s="8" t="str">
        <f>IF(ISBLANK(A713),"",VLOOKUP(A713,DOI_URL!$B$1:$C$74,2,FALSE()))</f>
        <v/>
      </c>
      <c r="D713" s="8"/>
      <c r="E713" s="8"/>
      <c r="J713" s="8"/>
      <c r="K713" s="8"/>
    </row>
    <row r="714">
      <c r="A714" s="8"/>
      <c r="B714" s="177"/>
      <c r="C714" s="8" t="str">
        <f>IF(ISBLANK(A714),"",VLOOKUP(A714,DOI_URL!$B$1:$C$74,2,FALSE()))</f>
        <v/>
      </c>
      <c r="D714" s="8"/>
      <c r="E714" s="8"/>
      <c r="J714" s="8"/>
      <c r="K714" s="8"/>
    </row>
    <row r="715">
      <c r="A715" s="8"/>
      <c r="B715" s="177"/>
      <c r="C715" s="8" t="str">
        <f>IF(ISBLANK(A715),"",VLOOKUP(A715,DOI_URL!$B$1:$C$74,2,FALSE()))</f>
        <v/>
      </c>
      <c r="D715" s="8"/>
      <c r="E715" s="8"/>
      <c r="J715" s="8"/>
      <c r="K715" s="8"/>
    </row>
    <row r="716">
      <c r="A716" s="8"/>
      <c r="B716" s="177"/>
      <c r="C716" s="8" t="str">
        <f>IF(ISBLANK(A716),"",VLOOKUP(A716,DOI_URL!$B$1:$C$74,2,FALSE()))</f>
        <v/>
      </c>
      <c r="D716" s="8"/>
      <c r="E716" s="8"/>
      <c r="J716" s="8"/>
      <c r="K716" s="8"/>
    </row>
    <row r="717">
      <c r="A717" s="8"/>
      <c r="B717" s="177"/>
      <c r="C717" s="8" t="str">
        <f>IF(ISBLANK(A717),"",VLOOKUP(A717,DOI_URL!$B$1:$C$74,2,FALSE()))</f>
        <v/>
      </c>
      <c r="D717" s="8"/>
      <c r="E717" s="8"/>
      <c r="J717" s="8"/>
      <c r="K717" s="8"/>
    </row>
    <row r="718">
      <c r="A718" s="8"/>
      <c r="B718" s="177"/>
      <c r="C718" s="8" t="str">
        <f>IF(ISBLANK(A718),"",VLOOKUP(A718,DOI_URL!$B$1:$C$74,2,FALSE()))</f>
        <v/>
      </c>
      <c r="D718" s="8"/>
      <c r="E718" s="8"/>
      <c r="J718" s="8"/>
      <c r="K718" s="8"/>
    </row>
    <row r="719">
      <c r="A719" s="8"/>
      <c r="B719" s="177"/>
      <c r="C719" s="8" t="str">
        <f>IF(ISBLANK(A719),"",VLOOKUP(A719,DOI_URL!$B$1:$C$74,2,FALSE()))</f>
        <v/>
      </c>
      <c r="D719" s="8"/>
      <c r="E719" s="8"/>
      <c r="J719" s="8"/>
      <c r="K719" s="8"/>
    </row>
    <row r="720">
      <c r="A720" s="8"/>
      <c r="B720" s="177"/>
      <c r="C720" s="8" t="str">
        <f>IF(ISBLANK(A720),"",VLOOKUP(A720,DOI_URL!$B$1:$C$74,2,FALSE()))</f>
        <v/>
      </c>
      <c r="D720" s="8"/>
      <c r="E720" s="8"/>
      <c r="J720" s="8"/>
      <c r="K720" s="8"/>
    </row>
    <row r="721">
      <c r="A721" s="8"/>
      <c r="B721" s="177"/>
      <c r="C721" s="8" t="str">
        <f>IF(ISBLANK(A721),"",VLOOKUP(A721,DOI_URL!$B$1:$C$74,2,FALSE()))</f>
        <v/>
      </c>
      <c r="D721" s="8"/>
      <c r="E721" s="8"/>
      <c r="J721" s="8"/>
      <c r="K721" s="8"/>
    </row>
    <row r="722">
      <c r="A722" s="8"/>
      <c r="B722" s="177"/>
      <c r="C722" s="8" t="str">
        <f>IF(ISBLANK(A722),"",VLOOKUP(A722,DOI_URL!$B$1:$C$74,2,FALSE()))</f>
        <v/>
      </c>
      <c r="D722" s="8"/>
      <c r="E722" s="8"/>
      <c r="J722" s="8"/>
      <c r="K722" s="8"/>
    </row>
    <row r="723">
      <c r="A723" s="8"/>
      <c r="B723" s="177"/>
      <c r="C723" s="8" t="str">
        <f>IF(ISBLANK(A723),"",VLOOKUP(A723,DOI_URL!$B$1:$C$74,2,FALSE()))</f>
        <v/>
      </c>
      <c r="D723" s="8"/>
      <c r="E723" s="8"/>
      <c r="J723" s="8"/>
      <c r="K723" s="8"/>
    </row>
    <row r="724">
      <c r="A724" s="8"/>
      <c r="B724" s="177"/>
      <c r="C724" s="8" t="str">
        <f>IF(ISBLANK(A724),"",VLOOKUP(A724,DOI_URL!$B$1:$C$74,2,FALSE()))</f>
        <v/>
      </c>
      <c r="D724" s="8"/>
      <c r="E724" s="8"/>
      <c r="J724" s="8"/>
      <c r="K724" s="8"/>
    </row>
    <row r="725">
      <c r="A725" s="8"/>
      <c r="B725" s="177"/>
      <c r="C725" s="8" t="str">
        <f>IF(ISBLANK(A725),"",VLOOKUP(A725,DOI_URL!$B$1:$C$74,2,FALSE()))</f>
        <v/>
      </c>
      <c r="D725" s="8"/>
      <c r="E725" s="8"/>
      <c r="J725" s="8"/>
      <c r="K725" s="8"/>
    </row>
    <row r="726">
      <c r="A726" s="8"/>
      <c r="B726" s="177"/>
      <c r="C726" s="8" t="str">
        <f>IF(ISBLANK(A726),"",VLOOKUP(A726,DOI_URL!$B$1:$C$74,2,FALSE()))</f>
        <v/>
      </c>
      <c r="D726" s="8"/>
      <c r="E726" s="8"/>
      <c r="J726" s="8"/>
      <c r="K726" s="8"/>
    </row>
    <row r="727">
      <c r="A727" s="8"/>
      <c r="B727" s="177"/>
      <c r="C727" s="8" t="str">
        <f>IF(ISBLANK(A727),"",VLOOKUP(A727,DOI_URL!$B$1:$C$74,2,FALSE()))</f>
        <v/>
      </c>
      <c r="D727" s="8"/>
      <c r="E727" s="8"/>
      <c r="J727" s="8"/>
      <c r="K727" s="8"/>
    </row>
    <row r="728">
      <c r="A728" s="8"/>
      <c r="B728" s="177"/>
      <c r="C728" s="8" t="str">
        <f>IF(ISBLANK(A728),"",VLOOKUP(A728,DOI_URL!$B$1:$C$74,2,FALSE()))</f>
        <v/>
      </c>
      <c r="D728" s="8"/>
      <c r="E728" s="8"/>
      <c r="J728" s="8"/>
      <c r="K728" s="8"/>
    </row>
    <row r="729">
      <c r="A729" s="8"/>
      <c r="B729" s="177"/>
      <c r="C729" s="8" t="str">
        <f>IF(ISBLANK(A729),"",VLOOKUP(A729,DOI_URL!$B$1:$C$74,2,FALSE()))</f>
        <v/>
      </c>
      <c r="D729" s="8"/>
      <c r="E729" s="8"/>
      <c r="J729" s="8"/>
      <c r="K729" s="8"/>
    </row>
    <row r="730">
      <c r="A730" s="8"/>
      <c r="B730" s="177"/>
      <c r="C730" s="8" t="str">
        <f>IF(ISBLANK(A730),"",VLOOKUP(A730,DOI_URL!$B$1:$C$74,2,FALSE()))</f>
        <v/>
      </c>
      <c r="D730" s="8"/>
      <c r="E730" s="8"/>
      <c r="J730" s="8"/>
      <c r="K730" s="8"/>
    </row>
    <row r="731">
      <c r="A731" s="8"/>
      <c r="B731" s="177"/>
      <c r="C731" s="8" t="str">
        <f>IF(ISBLANK(A731),"",VLOOKUP(A731,DOI_URL!$B$1:$C$74,2,FALSE()))</f>
        <v/>
      </c>
      <c r="D731" s="8"/>
      <c r="E731" s="8"/>
      <c r="J731" s="8"/>
      <c r="K731" s="8"/>
    </row>
    <row r="732">
      <c r="A732" s="8"/>
      <c r="B732" s="177"/>
      <c r="C732" s="8" t="str">
        <f>IF(ISBLANK(A732),"",VLOOKUP(A732,DOI_URL!$B$1:$C$74,2,FALSE()))</f>
        <v/>
      </c>
      <c r="D732" s="8"/>
      <c r="E732" s="8"/>
      <c r="J732" s="8"/>
      <c r="K732" s="8"/>
    </row>
    <row r="733">
      <c r="A733" s="8"/>
      <c r="B733" s="177"/>
      <c r="C733" s="8" t="str">
        <f>IF(ISBLANK(A733),"",VLOOKUP(A733,DOI_URL!$B$1:$C$74,2,FALSE()))</f>
        <v/>
      </c>
      <c r="D733" s="8"/>
      <c r="E733" s="8"/>
      <c r="J733" s="8"/>
      <c r="K733" s="8"/>
    </row>
    <row r="734">
      <c r="A734" s="8"/>
      <c r="B734" s="177"/>
      <c r="C734" s="8" t="str">
        <f>IF(ISBLANK(A734),"",VLOOKUP(A734,DOI_URL!$B$1:$C$74,2,FALSE()))</f>
        <v/>
      </c>
      <c r="D734" s="8"/>
      <c r="E734" s="8"/>
      <c r="J734" s="8"/>
      <c r="K734" s="8"/>
    </row>
    <row r="735">
      <c r="A735" s="8"/>
      <c r="B735" s="177"/>
      <c r="C735" s="8" t="str">
        <f>IF(ISBLANK(A735),"",VLOOKUP(A735,DOI_URL!$B$1:$C$74,2,FALSE()))</f>
        <v/>
      </c>
      <c r="D735" s="8"/>
      <c r="E735" s="8"/>
      <c r="J735" s="8"/>
      <c r="K735" s="8"/>
    </row>
    <row r="736">
      <c r="A736" s="8"/>
      <c r="B736" s="177"/>
      <c r="C736" s="8" t="str">
        <f>IF(ISBLANK(A736),"",VLOOKUP(A736,DOI_URL!$B$1:$C$74,2,FALSE()))</f>
        <v/>
      </c>
      <c r="D736" s="8"/>
      <c r="E736" s="8"/>
      <c r="J736" s="8"/>
      <c r="K736" s="8"/>
    </row>
    <row r="737">
      <c r="A737" s="8"/>
      <c r="B737" s="177"/>
      <c r="C737" s="8" t="str">
        <f>IF(ISBLANK(A737),"",VLOOKUP(A737,DOI_URL!$B$1:$C$74,2,FALSE()))</f>
        <v/>
      </c>
      <c r="D737" s="8"/>
      <c r="E737" s="8"/>
      <c r="J737" s="8"/>
      <c r="K737" s="8"/>
    </row>
    <row r="738">
      <c r="A738" s="8"/>
      <c r="B738" s="177"/>
      <c r="C738" s="8" t="str">
        <f>IF(ISBLANK(A738),"",VLOOKUP(A738,DOI_URL!$B$1:$C$74,2,FALSE()))</f>
        <v/>
      </c>
      <c r="D738" s="8"/>
      <c r="E738" s="8"/>
      <c r="J738" s="8"/>
      <c r="K738" s="8"/>
    </row>
    <row r="739">
      <c r="A739" s="8"/>
      <c r="B739" s="177"/>
      <c r="C739" s="8" t="str">
        <f>IF(ISBLANK(A739),"",VLOOKUP(A739,DOI_URL!$B$1:$C$74,2,FALSE()))</f>
        <v/>
      </c>
      <c r="D739" s="8"/>
      <c r="E739" s="8"/>
      <c r="J739" s="8"/>
      <c r="K739" s="8"/>
    </row>
    <row r="740">
      <c r="A740" s="8"/>
      <c r="B740" s="177"/>
      <c r="C740" s="8" t="str">
        <f>IF(ISBLANK(A740),"",VLOOKUP(A740,DOI_URL!$B$1:$C$74,2,FALSE()))</f>
        <v/>
      </c>
      <c r="D740" s="8"/>
      <c r="E740" s="8"/>
      <c r="J740" s="8"/>
      <c r="K740" s="8"/>
    </row>
    <row r="741">
      <c r="A741" s="8"/>
      <c r="B741" s="177"/>
      <c r="C741" s="8" t="str">
        <f>IF(ISBLANK(A741),"",VLOOKUP(A741,DOI_URL!$B$1:$C$74,2,FALSE()))</f>
        <v/>
      </c>
      <c r="D741" s="8"/>
      <c r="E741" s="8"/>
      <c r="J741" s="8"/>
      <c r="K741" s="8"/>
    </row>
    <row r="742">
      <c r="A742" s="8"/>
      <c r="B742" s="177"/>
      <c r="C742" s="8" t="str">
        <f>IF(ISBLANK(A742),"",VLOOKUP(A742,DOI_URL!$B$1:$C$74,2,FALSE()))</f>
        <v/>
      </c>
      <c r="D742" s="8"/>
      <c r="E742" s="8"/>
      <c r="J742" s="8"/>
      <c r="K742" s="8"/>
    </row>
    <row r="743">
      <c r="A743" s="8"/>
      <c r="B743" s="177"/>
      <c r="C743" s="8" t="str">
        <f>IF(ISBLANK(A743),"",VLOOKUP(A743,DOI_URL!$B$1:$C$74,2,FALSE()))</f>
        <v/>
      </c>
      <c r="D743" s="8"/>
      <c r="E743" s="8"/>
      <c r="J743" s="8"/>
      <c r="K743" s="8"/>
    </row>
    <row r="744">
      <c r="A744" s="8"/>
      <c r="B744" s="177"/>
      <c r="C744" s="8" t="str">
        <f>IF(ISBLANK(A744),"",VLOOKUP(A744,DOI_URL!$B$1:$C$74,2,FALSE()))</f>
        <v/>
      </c>
      <c r="D744" s="8"/>
      <c r="E744" s="8"/>
      <c r="J744" s="8"/>
      <c r="K744" s="8"/>
    </row>
    <row r="745">
      <c r="A745" s="8"/>
      <c r="B745" s="177"/>
      <c r="C745" s="8" t="str">
        <f>IF(ISBLANK(A745),"",VLOOKUP(A745,DOI_URL!$B$1:$C$74,2,FALSE()))</f>
        <v/>
      </c>
      <c r="D745" s="8"/>
      <c r="E745" s="8"/>
      <c r="J745" s="8"/>
      <c r="K745" s="8"/>
    </row>
    <row r="746">
      <c r="A746" s="8"/>
      <c r="B746" s="177"/>
      <c r="C746" s="8" t="str">
        <f>IF(ISBLANK(A746),"",VLOOKUP(A746,DOI_URL!$B$1:$C$74,2,FALSE()))</f>
        <v/>
      </c>
      <c r="D746" s="8"/>
      <c r="E746" s="8"/>
      <c r="J746" s="8"/>
      <c r="K746" s="8"/>
    </row>
    <row r="747">
      <c r="A747" s="8"/>
      <c r="B747" s="177"/>
      <c r="C747" s="8" t="str">
        <f>IF(ISBLANK(A747),"",VLOOKUP(A747,DOI_URL!$B$1:$C$74,2,FALSE()))</f>
        <v/>
      </c>
      <c r="D747" s="8"/>
      <c r="E747" s="8"/>
      <c r="J747" s="8"/>
      <c r="K747" s="8"/>
    </row>
    <row r="748">
      <c r="A748" s="8"/>
      <c r="B748" s="177"/>
      <c r="C748" s="8" t="str">
        <f>IF(ISBLANK(A748),"",VLOOKUP(A748,DOI_URL!$B$1:$C$74,2,FALSE()))</f>
        <v/>
      </c>
      <c r="D748" s="8"/>
      <c r="E748" s="8"/>
      <c r="J748" s="8"/>
      <c r="K748" s="8"/>
    </row>
    <row r="749">
      <c r="A749" s="8"/>
      <c r="B749" s="177"/>
      <c r="C749" s="8" t="str">
        <f>IF(ISBLANK(A749),"",VLOOKUP(A749,DOI_URL!$B$1:$C$74,2,FALSE()))</f>
        <v/>
      </c>
      <c r="D749" s="8"/>
      <c r="E749" s="8"/>
      <c r="J749" s="8"/>
      <c r="K749" s="8"/>
    </row>
    <row r="750">
      <c r="A750" s="8"/>
      <c r="B750" s="177"/>
      <c r="C750" s="8" t="str">
        <f>IF(ISBLANK(A750),"",VLOOKUP(A750,DOI_URL!$B$1:$C$74,2,FALSE()))</f>
        <v/>
      </c>
      <c r="D750" s="8"/>
      <c r="E750" s="8"/>
      <c r="J750" s="8"/>
      <c r="K750" s="8"/>
    </row>
    <row r="751">
      <c r="A751" s="8"/>
      <c r="B751" s="177"/>
      <c r="C751" s="8" t="str">
        <f>IF(ISBLANK(A751),"",VLOOKUP(A751,DOI_URL!$B$1:$C$74,2,FALSE()))</f>
        <v/>
      </c>
      <c r="D751" s="8"/>
      <c r="E751" s="8"/>
      <c r="J751" s="8"/>
      <c r="K751" s="8"/>
    </row>
    <row r="752">
      <c r="A752" s="8"/>
      <c r="B752" s="177"/>
      <c r="C752" s="8" t="str">
        <f>IF(ISBLANK(A752),"",VLOOKUP(A752,DOI_URL!$B$1:$C$74,2,FALSE()))</f>
        <v/>
      </c>
      <c r="D752" s="8"/>
      <c r="E752" s="8"/>
      <c r="J752" s="8"/>
      <c r="K752" s="8"/>
    </row>
    <row r="753">
      <c r="A753" s="8"/>
      <c r="B753" s="177"/>
      <c r="C753" s="8" t="str">
        <f>IF(ISBLANK(A753),"",VLOOKUP(A753,DOI_URL!$B$1:$C$74,2,FALSE()))</f>
        <v/>
      </c>
      <c r="D753" s="8"/>
      <c r="E753" s="8"/>
      <c r="J753" s="8"/>
      <c r="K753" s="8"/>
    </row>
    <row r="754">
      <c r="A754" s="8"/>
      <c r="B754" s="177"/>
      <c r="C754" s="8" t="str">
        <f>IF(ISBLANK(A754),"",VLOOKUP(A754,DOI_URL!$B$1:$C$74,2,FALSE()))</f>
        <v/>
      </c>
      <c r="D754" s="8"/>
      <c r="E754" s="8"/>
      <c r="J754" s="8"/>
      <c r="K754" s="8"/>
    </row>
    <row r="755">
      <c r="A755" s="8"/>
      <c r="B755" s="177"/>
      <c r="C755" s="8" t="str">
        <f>IF(ISBLANK(A755),"",VLOOKUP(A755,DOI_URL!$B$1:$C$74,2,FALSE()))</f>
        <v/>
      </c>
      <c r="D755" s="8"/>
      <c r="E755" s="8"/>
      <c r="J755" s="8"/>
      <c r="K755" s="8"/>
    </row>
    <row r="756">
      <c r="A756" s="8"/>
      <c r="B756" s="177"/>
      <c r="C756" s="8" t="str">
        <f>IF(ISBLANK(A756),"",VLOOKUP(A756,DOI_URL!$B$1:$C$74,2,FALSE()))</f>
        <v/>
      </c>
      <c r="D756" s="8"/>
      <c r="E756" s="8"/>
      <c r="J756" s="8"/>
      <c r="K756" s="8"/>
    </row>
    <row r="757">
      <c r="A757" s="8"/>
      <c r="B757" s="177"/>
      <c r="C757" s="8" t="str">
        <f>IF(ISBLANK(A757),"",VLOOKUP(A757,DOI_URL!$B$1:$C$74,2,FALSE()))</f>
        <v/>
      </c>
      <c r="D757" s="8"/>
      <c r="E757" s="8"/>
      <c r="J757" s="8"/>
      <c r="K757" s="8"/>
    </row>
    <row r="758">
      <c r="A758" s="8"/>
      <c r="B758" s="177"/>
      <c r="C758" s="8" t="str">
        <f>IF(ISBLANK(A758),"",VLOOKUP(A758,DOI_URL!$B$1:$C$74,2,FALSE()))</f>
        <v/>
      </c>
      <c r="D758" s="8"/>
      <c r="E758" s="8"/>
      <c r="J758" s="8"/>
      <c r="K758" s="8"/>
    </row>
    <row r="759">
      <c r="A759" s="8"/>
      <c r="B759" s="177"/>
      <c r="C759" s="8" t="str">
        <f>IF(ISBLANK(A759),"",VLOOKUP(A759,DOI_URL!$B$1:$C$74,2,FALSE()))</f>
        <v/>
      </c>
      <c r="D759" s="8"/>
      <c r="E759" s="8"/>
      <c r="J759" s="8"/>
      <c r="K759" s="8"/>
    </row>
    <row r="760">
      <c r="A760" s="8"/>
      <c r="B760" s="177"/>
      <c r="C760" s="8" t="str">
        <f>IF(ISBLANK(A760),"",VLOOKUP(A760,DOI_URL!$B$1:$C$74,2,FALSE()))</f>
        <v/>
      </c>
      <c r="D760" s="8"/>
      <c r="E760" s="8"/>
      <c r="J760" s="8"/>
      <c r="K760" s="8"/>
    </row>
    <row r="761">
      <c r="A761" s="8"/>
      <c r="B761" s="177"/>
      <c r="C761" s="8" t="str">
        <f>IF(ISBLANK(A761),"",VLOOKUP(A761,DOI_URL!$B$1:$C$74,2,FALSE()))</f>
        <v/>
      </c>
      <c r="D761" s="8"/>
      <c r="E761" s="8"/>
      <c r="J761" s="8"/>
      <c r="K761" s="8"/>
    </row>
    <row r="762">
      <c r="A762" s="8"/>
      <c r="B762" s="177"/>
      <c r="C762" s="8" t="str">
        <f>IF(ISBLANK(A762),"",VLOOKUP(A762,DOI_URL!$B$1:$C$74,2,FALSE()))</f>
        <v/>
      </c>
      <c r="D762" s="8"/>
      <c r="E762" s="8"/>
      <c r="J762" s="8"/>
      <c r="K762" s="8"/>
    </row>
    <row r="763">
      <c r="A763" s="8"/>
      <c r="B763" s="177"/>
      <c r="C763" s="8" t="str">
        <f>IF(ISBLANK(A763),"",VLOOKUP(A763,DOI_URL!$B$1:$C$74,2,FALSE()))</f>
        <v/>
      </c>
      <c r="D763" s="8"/>
      <c r="E763" s="8"/>
      <c r="J763" s="8"/>
      <c r="K763" s="8"/>
    </row>
    <row r="764">
      <c r="A764" s="8"/>
      <c r="B764" s="177"/>
      <c r="C764" s="8" t="str">
        <f>IF(ISBLANK(A764),"",VLOOKUP(A764,DOI_URL!$B$1:$C$74,2,FALSE()))</f>
        <v/>
      </c>
      <c r="D764" s="8"/>
      <c r="E764" s="8"/>
      <c r="J764" s="8"/>
      <c r="K764" s="8"/>
    </row>
    <row r="765">
      <c r="A765" s="8"/>
      <c r="B765" s="177"/>
      <c r="C765" s="8" t="str">
        <f>IF(ISBLANK(A765),"",VLOOKUP(A765,DOI_URL!$B$1:$C$74,2,FALSE()))</f>
        <v/>
      </c>
      <c r="D765" s="8"/>
      <c r="E765" s="8"/>
      <c r="J765" s="8"/>
      <c r="K765" s="8"/>
    </row>
    <row r="766">
      <c r="A766" s="8"/>
      <c r="B766" s="177"/>
      <c r="C766" s="8" t="str">
        <f>IF(ISBLANK(A766),"",VLOOKUP(A766,DOI_URL!$B$1:$C$74,2,FALSE()))</f>
        <v/>
      </c>
      <c r="D766" s="8"/>
      <c r="E766" s="8"/>
      <c r="J766" s="8"/>
      <c r="K766" s="8"/>
    </row>
    <row r="767">
      <c r="A767" s="8"/>
      <c r="B767" s="177"/>
      <c r="C767" s="8" t="str">
        <f>IF(ISBLANK(A767),"",VLOOKUP(A767,DOI_URL!$B$1:$C$74,2,FALSE()))</f>
        <v/>
      </c>
      <c r="D767" s="8"/>
      <c r="E767" s="8"/>
      <c r="J767" s="8"/>
      <c r="K767" s="8"/>
    </row>
    <row r="768">
      <c r="A768" s="8"/>
      <c r="B768" s="177"/>
      <c r="C768" s="8" t="str">
        <f>IF(ISBLANK(A768),"",VLOOKUP(A768,DOI_URL!$B$1:$C$74,2,FALSE()))</f>
        <v/>
      </c>
      <c r="D768" s="8"/>
      <c r="E768" s="8"/>
      <c r="J768" s="8"/>
      <c r="K768" s="8"/>
    </row>
    <row r="769">
      <c r="A769" s="8"/>
      <c r="B769" s="177"/>
      <c r="C769" s="8" t="str">
        <f>IF(ISBLANK(A769),"",VLOOKUP(A769,DOI_URL!$B$1:$C$74,2,FALSE()))</f>
        <v/>
      </c>
      <c r="D769" s="8"/>
      <c r="E769" s="8"/>
      <c r="J769" s="8"/>
      <c r="K769" s="8"/>
    </row>
    <row r="770">
      <c r="A770" s="8"/>
      <c r="B770" s="177"/>
      <c r="C770" s="8" t="str">
        <f>IF(ISBLANK(A770),"",VLOOKUP(A770,DOI_URL!$B$1:$C$74,2,FALSE()))</f>
        <v/>
      </c>
      <c r="D770" s="8"/>
      <c r="E770" s="8"/>
      <c r="J770" s="8"/>
      <c r="K770" s="8"/>
    </row>
    <row r="771">
      <c r="A771" s="8"/>
      <c r="B771" s="177"/>
      <c r="C771" s="8" t="str">
        <f>IF(ISBLANK(A771),"",VLOOKUP(A771,DOI_URL!$B$1:$C$74,2,FALSE()))</f>
        <v/>
      </c>
      <c r="D771" s="8"/>
      <c r="E771" s="8"/>
      <c r="J771" s="8"/>
      <c r="K771" s="8"/>
    </row>
    <row r="772">
      <c r="A772" s="8"/>
      <c r="B772" s="177"/>
      <c r="C772" s="8" t="str">
        <f>IF(ISBLANK(A772),"",VLOOKUP(A772,DOI_URL!$B$1:$C$74,2,FALSE()))</f>
        <v/>
      </c>
      <c r="D772" s="8"/>
      <c r="E772" s="8"/>
      <c r="J772" s="8"/>
      <c r="K772" s="8"/>
    </row>
    <row r="773">
      <c r="A773" s="8"/>
      <c r="B773" s="177"/>
      <c r="C773" s="8" t="str">
        <f>IF(ISBLANK(A773),"",VLOOKUP(A773,DOI_URL!$B$1:$C$74,2,FALSE()))</f>
        <v/>
      </c>
      <c r="D773" s="8"/>
      <c r="E773" s="8"/>
      <c r="J773" s="8"/>
      <c r="K773" s="8"/>
    </row>
    <row r="774">
      <c r="A774" s="8"/>
      <c r="B774" s="177"/>
      <c r="C774" s="8" t="str">
        <f>IF(ISBLANK(A774),"",VLOOKUP(A774,DOI_URL!$B$1:$C$74,2,FALSE()))</f>
        <v/>
      </c>
      <c r="D774" s="8"/>
      <c r="E774" s="8"/>
      <c r="J774" s="8"/>
      <c r="K774" s="8"/>
    </row>
    <row r="775">
      <c r="A775" s="8"/>
      <c r="B775" s="177"/>
      <c r="C775" s="8" t="str">
        <f>IF(ISBLANK(A775),"",VLOOKUP(A775,DOI_URL!$B$1:$C$74,2,FALSE()))</f>
        <v/>
      </c>
      <c r="D775" s="8"/>
      <c r="E775" s="8"/>
      <c r="J775" s="8"/>
      <c r="K775" s="8"/>
    </row>
    <row r="776">
      <c r="A776" s="8"/>
      <c r="B776" s="177"/>
      <c r="C776" s="8" t="str">
        <f>IF(ISBLANK(A776),"",VLOOKUP(A776,DOI_URL!$B$1:$C$74,2,FALSE()))</f>
        <v/>
      </c>
      <c r="D776" s="8"/>
      <c r="E776" s="8"/>
      <c r="J776" s="8"/>
      <c r="K776" s="8"/>
    </row>
    <row r="777">
      <c r="A777" s="8"/>
      <c r="B777" s="177"/>
      <c r="C777" s="8" t="str">
        <f>IF(ISBLANK(A777),"",VLOOKUP(A777,DOI_URL!$B$1:$C$74,2,FALSE()))</f>
        <v/>
      </c>
      <c r="D777" s="8"/>
      <c r="E777" s="8"/>
      <c r="J777" s="8"/>
      <c r="K777" s="8"/>
    </row>
    <row r="778">
      <c r="A778" s="8"/>
      <c r="B778" s="177"/>
      <c r="C778" s="8" t="str">
        <f>IF(ISBLANK(A778),"",VLOOKUP(A778,DOI_URL!$B$1:$C$74,2,FALSE()))</f>
        <v/>
      </c>
      <c r="D778" s="8"/>
      <c r="E778" s="8"/>
      <c r="J778" s="8"/>
      <c r="K778" s="8"/>
    </row>
    <row r="779">
      <c r="A779" s="8"/>
      <c r="B779" s="177"/>
      <c r="C779" s="8" t="str">
        <f>IF(ISBLANK(A779),"",VLOOKUP(A779,DOI_URL!$B$1:$C$74,2,FALSE()))</f>
        <v/>
      </c>
      <c r="D779" s="8"/>
      <c r="E779" s="8"/>
      <c r="J779" s="8"/>
      <c r="K779" s="8"/>
    </row>
    <row r="780">
      <c r="A780" s="8"/>
      <c r="B780" s="177"/>
      <c r="C780" s="8" t="str">
        <f>IF(ISBLANK(A780),"",VLOOKUP(A780,DOI_URL!$B$1:$C$74,2,FALSE()))</f>
        <v/>
      </c>
      <c r="D780" s="8"/>
      <c r="E780" s="8"/>
      <c r="J780" s="8"/>
      <c r="K780" s="8"/>
    </row>
    <row r="781">
      <c r="A781" s="8"/>
      <c r="B781" s="177"/>
      <c r="C781" s="8" t="str">
        <f>IF(ISBLANK(A781),"",VLOOKUP(A781,DOI_URL!$B$1:$C$74,2,FALSE()))</f>
        <v/>
      </c>
      <c r="D781" s="8"/>
      <c r="E781" s="8"/>
      <c r="J781" s="8"/>
      <c r="K781" s="8"/>
    </row>
    <row r="782">
      <c r="A782" s="8"/>
      <c r="B782" s="177"/>
      <c r="C782" s="8" t="str">
        <f>IF(ISBLANK(A782),"",VLOOKUP(A782,DOI_URL!$B$1:$C$74,2,FALSE()))</f>
        <v/>
      </c>
      <c r="D782" s="8"/>
      <c r="E782" s="8"/>
      <c r="J782" s="8"/>
      <c r="K782" s="8"/>
    </row>
    <row r="783">
      <c r="A783" s="8"/>
      <c r="B783" s="177"/>
      <c r="C783" s="8" t="str">
        <f>IF(ISBLANK(A783),"",VLOOKUP(A783,DOI_URL!$B$1:$C$74,2,FALSE()))</f>
        <v/>
      </c>
      <c r="D783" s="8"/>
      <c r="E783" s="8"/>
      <c r="J783" s="8"/>
      <c r="K783" s="8"/>
    </row>
    <row r="784">
      <c r="A784" s="8"/>
      <c r="B784" s="177"/>
      <c r="C784" s="8" t="str">
        <f>IF(ISBLANK(A784),"",VLOOKUP(A784,DOI_URL!$B$1:$C$74,2,FALSE()))</f>
        <v/>
      </c>
      <c r="D784" s="8"/>
      <c r="E784" s="8"/>
      <c r="J784" s="8"/>
      <c r="K784" s="8"/>
    </row>
    <row r="785">
      <c r="A785" s="8"/>
      <c r="B785" s="177"/>
      <c r="C785" s="8" t="str">
        <f>IF(ISBLANK(A785),"",VLOOKUP(A785,DOI_URL!$B$1:$C$74,2,FALSE()))</f>
        <v/>
      </c>
      <c r="D785" s="8"/>
      <c r="E785" s="8"/>
      <c r="J785" s="8"/>
      <c r="K785" s="8"/>
    </row>
    <row r="786">
      <c r="A786" s="8"/>
      <c r="B786" s="177"/>
      <c r="C786" s="8" t="str">
        <f>IF(ISBLANK(A786),"",VLOOKUP(A786,DOI_URL!$B$1:$C$74,2,FALSE()))</f>
        <v/>
      </c>
      <c r="D786" s="8"/>
      <c r="E786" s="8"/>
      <c r="J786" s="8"/>
      <c r="K786" s="8"/>
    </row>
    <row r="787">
      <c r="A787" s="8"/>
      <c r="B787" s="177"/>
      <c r="C787" s="8" t="str">
        <f>IF(ISBLANK(A787),"",VLOOKUP(A787,DOI_URL!$B$1:$C$74,2,FALSE()))</f>
        <v/>
      </c>
      <c r="D787" s="8"/>
      <c r="E787" s="8"/>
      <c r="J787" s="8"/>
      <c r="K787" s="8"/>
    </row>
    <row r="788">
      <c r="A788" s="8"/>
      <c r="B788" s="177"/>
      <c r="C788" s="8" t="str">
        <f>IF(ISBLANK(A788),"",VLOOKUP(A788,DOI_URL!$B$1:$C$74,2,FALSE()))</f>
        <v/>
      </c>
      <c r="D788" s="8"/>
      <c r="E788" s="8"/>
      <c r="J788" s="8"/>
      <c r="K788" s="8"/>
    </row>
    <row r="789">
      <c r="A789" s="8"/>
      <c r="B789" s="177"/>
      <c r="C789" s="8" t="str">
        <f>IF(ISBLANK(A789),"",VLOOKUP(A789,DOI_URL!$B$1:$C$74,2,FALSE()))</f>
        <v/>
      </c>
      <c r="D789" s="8"/>
      <c r="E789" s="8"/>
      <c r="J789" s="8"/>
      <c r="K789" s="8"/>
    </row>
    <row r="790">
      <c r="A790" s="8"/>
      <c r="B790" s="177"/>
      <c r="C790" s="8" t="str">
        <f>IF(ISBLANK(A790),"",VLOOKUP(A790,DOI_URL!$B$1:$C$74,2,FALSE()))</f>
        <v/>
      </c>
      <c r="D790" s="8"/>
      <c r="E790" s="8"/>
      <c r="J790" s="8"/>
      <c r="K790" s="8"/>
    </row>
    <row r="791">
      <c r="A791" s="8"/>
      <c r="B791" s="177"/>
      <c r="C791" s="8" t="str">
        <f>IF(ISBLANK(A791),"",VLOOKUP(A791,DOI_URL!$B$1:$C$74,2,FALSE()))</f>
        <v/>
      </c>
      <c r="D791" s="8"/>
      <c r="E791" s="8"/>
      <c r="J791" s="8"/>
      <c r="K791" s="8"/>
    </row>
    <row r="792">
      <c r="A792" s="8"/>
      <c r="B792" s="177"/>
      <c r="C792" s="8" t="str">
        <f>IF(ISBLANK(A792),"",VLOOKUP(A792,DOI_URL!$B$1:$C$74,2,FALSE()))</f>
        <v/>
      </c>
      <c r="D792" s="8"/>
      <c r="E792" s="8"/>
      <c r="J792" s="8"/>
      <c r="K792" s="8"/>
    </row>
    <row r="793">
      <c r="A793" s="8"/>
      <c r="B793" s="177"/>
      <c r="C793" s="8" t="str">
        <f>IF(ISBLANK(A793),"",VLOOKUP(A793,DOI_URL!$B$1:$C$74,2,FALSE()))</f>
        <v/>
      </c>
      <c r="D793" s="8"/>
      <c r="E793" s="8"/>
      <c r="J793" s="8"/>
      <c r="K793" s="8"/>
    </row>
    <row r="794">
      <c r="A794" s="8"/>
      <c r="B794" s="177"/>
      <c r="C794" s="8" t="str">
        <f>IF(ISBLANK(A794),"",VLOOKUP(A794,DOI_URL!$B$1:$C$74,2,FALSE()))</f>
        <v/>
      </c>
      <c r="D794" s="8"/>
      <c r="E794" s="8"/>
      <c r="J794" s="8"/>
      <c r="K794" s="8"/>
    </row>
    <row r="795">
      <c r="A795" s="8"/>
      <c r="B795" s="177"/>
      <c r="C795" s="8" t="str">
        <f>IF(ISBLANK(A795),"",VLOOKUP(A795,DOI_URL!$B$1:$C$74,2,FALSE()))</f>
        <v/>
      </c>
      <c r="D795" s="8"/>
      <c r="E795" s="8"/>
      <c r="J795" s="8"/>
      <c r="K795" s="8"/>
    </row>
    <row r="796">
      <c r="A796" s="8"/>
      <c r="B796" s="177"/>
      <c r="C796" s="8" t="str">
        <f>IF(ISBLANK(A796),"",VLOOKUP(A796,DOI_URL!$B$1:$C$74,2,FALSE()))</f>
        <v/>
      </c>
      <c r="D796" s="8"/>
      <c r="E796" s="8"/>
      <c r="J796" s="8"/>
      <c r="K796" s="8"/>
    </row>
    <row r="797">
      <c r="A797" s="8"/>
      <c r="B797" s="177"/>
      <c r="C797" s="8" t="str">
        <f>IF(ISBLANK(A797),"",VLOOKUP(A797,DOI_URL!$B$1:$C$74,2,FALSE()))</f>
        <v/>
      </c>
      <c r="D797" s="8"/>
      <c r="E797" s="8"/>
      <c r="J797" s="8"/>
      <c r="K797" s="8"/>
    </row>
    <row r="798">
      <c r="A798" s="8"/>
      <c r="B798" s="177"/>
      <c r="C798" s="8" t="str">
        <f>IF(ISBLANK(A798),"",VLOOKUP(A798,DOI_URL!$B$1:$C$74,2,FALSE()))</f>
        <v/>
      </c>
      <c r="D798" s="8"/>
      <c r="E798" s="8"/>
      <c r="J798" s="8"/>
      <c r="K798" s="8"/>
    </row>
    <row r="799">
      <c r="A799" s="8"/>
      <c r="B799" s="177"/>
      <c r="C799" s="8" t="str">
        <f>IF(ISBLANK(A799),"",VLOOKUP(A799,DOI_URL!$B$1:$C$74,2,FALSE()))</f>
        <v/>
      </c>
      <c r="D799" s="8"/>
      <c r="E799" s="8"/>
      <c r="J799" s="8"/>
      <c r="K799" s="8"/>
    </row>
    <row r="800">
      <c r="A800" s="8"/>
      <c r="B800" s="177"/>
      <c r="C800" s="8" t="str">
        <f>IF(ISBLANK(A800),"",VLOOKUP(A800,DOI_URL!$B$1:$C$74,2,FALSE()))</f>
        <v/>
      </c>
      <c r="D800" s="8"/>
      <c r="E800" s="8"/>
      <c r="J800" s="8"/>
      <c r="K800" s="8"/>
    </row>
    <row r="801">
      <c r="A801" s="8"/>
      <c r="B801" s="177"/>
      <c r="C801" s="8" t="str">
        <f>IF(ISBLANK(A801),"",VLOOKUP(A801,DOI_URL!$B$1:$C$74,2,FALSE()))</f>
        <v/>
      </c>
      <c r="D801" s="8"/>
      <c r="E801" s="8"/>
      <c r="J801" s="8"/>
      <c r="K801" s="8"/>
    </row>
    <row r="802">
      <c r="A802" s="8"/>
      <c r="B802" s="177"/>
      <c r="C802" s="8" t="str">
        <f>IF(ISBLANK(A802),"",VLOOKUP(A802,DOI_URL!$B$1:$C$74,2,FALSE()))</f>
        <v/>
      </c>
      <c r="D802" s="8"/>
      <c r="E802" s="8"/>
      <c r="J802" s="8"/>
      <c r="K802" s="8"/>
    </row>
    <row r="803">
      <c r="A803" s="8"/>
      <c r="B803" s="177"/>
      <c r="C803" s="8" t="str">
        <f>IF(ISBLANK(A803),"",VLOOKUP(A803,DOI_URL!$B$1:$C$74,2,FALSE()))</f>
        <v/>
      </c>
      <c r="D803" s="8"/>
      <c r="E803" s="8"/>
      <c r="J803" s="8"/>
      <c r="K803" s="8"/>
    </row>
    <row r="804">
      <c r="A804" s="8"/>
      <c r="B804" s="177"/>
      <c r="C804" s="8" t="str">
        <f>IF(ISBLANK(A804),"",VLOOKUP(A804,DOI_URL!$B$1:$C$74,2,FALSE()))</f>
        <v/>
      </c>
      <c r="D804" s="8"/>
      <c r="E804" s="8"/>
      <c r="J804" s="8"/>
      <c r="K804" s="8"/>
    </row>
    <row r="805">
      <c r="A805" s="8"/>
      <c r="B805" s="177"/>
      <c r="C805" s="8" t="str">
        <f>IF(ISBLANK(A805),"",VLOOKUP(A805,DOI_URL!$B$1:$C$74,2,FALSE()))</f>
        <v/>
      </c>
      <c r="D805" s="8"/>
      <c r="E805" s="8"/>
      <c r="J805" s="8"/>
      <c r="K805" s="8"/>
    </row>
    <row r="806">
      <c r="A806" s="8"/>
      <c r="B806" s="177"/>
      <c r="C806" s="8" t="str">
        <f>IF(ISBLANK(A806),"",VLOOKUP(A806,DOI_URL!$B$1:$C$74,2,FALSE()))</f>
        <v/>
      </c>
      <c r="D806" s="8"/>
      <c r="E806" s="8"/>
      <c r="J806" s="8"/>
      <c r="K806" s="8"/>
    </row>
    <row r="807">
      <c r="A807" s="8"/>
      <c r="B807" s="177"/>
      <c r="C807" s="8" t="str">
        <f>IF(ISBLANK(A807),"",VLOOKUP(A807,DOI_URL!$B$1:$C$74,2,FALSE()))</f>
        <v/>
      </c>
      <c r="D807" s="8"/>
      <c r="E807" s="8"/>
      <c r="J807" s="8"/>
      <c r="K807" s="8"/>
    </row>
    <row r="808">
      <c r="A808" s="8"/>
      <c r="B808" s="177"/>
      <c r="C808" s="8" t="str">
        <f>IF(ISBLANK(A808),"",VLOOKUP(A808,DOI_URL!$B$1:$C$74,2,FALSE()))</f>
        <v/>
      </c>
      <c r="D808" s="8"/>
      <c r="E808" s="8"/>
      <c r="J808" s="8"/>
      <c r="K808" s="8"/>
    </row>
    <row r="809">
      <c r="A809" s="8"/>
      <c r="B809" s="177"/>
      <c r="C809" s="8" t="str">
        <f>IF(ISBLANK(A809),"",VLOOKUP(A809,DOI_URL!$B$1:$C$74,2,FALSE()))</f>
        <v/>
      </c>
      <c r="D809" s="8"/>
      <c r="E809" s="8"/>
      <c r="J809" s="8"/>
      <c r="K809" s="8"/>
    </row>
    <row r="810">
      <c r="A810" s="8"/>
      <c r="B810" s="177"/>
      <c r="C810" s="8" t="str">
        <f>IF(ISBLANK(A810),"",VLOOKUP(A810,DOI_URL!$B$1:$C$74,2,FALSE()))</f>
        <v/>
      </c>
      <c r="D810" s="8"/>
      <c r="E810" s="8"/>
      <c r="J810" s="8"/>
      <c r="K810" s="8"/>
    </row>
    <row r="811">
      <c r="A811" s="8"/>
      <c r="B811" s="177"/>
      <c r="C811" s="8" t="str">
        <f>IF(ISBLANK(A811),"",VLOOKUP(A811,DOI_URL!$B$1:$C$74,2,FALSE()))</f>
        <v/>
      </c>
      <c r="D811" s="8"/>
      <c r="E811" s="8"/>
      <c r="J811" s="8"/>
      <c r="K811" s="8"/>
    </row>
    <row r="812">
      <c r="A812" s="8"/>
      <c r="B812" s="177"/>
      <c r="C812" s="8" t="str">
        <f>IF(ISBLANK(A812),"",VLOOKUP(A812,DOI_URL!$B$1:$C$74,2,FALSE()))</f>
        <v/>
      </c>
      <c r="D812" s="8"/>
      <c r="E812" s="8"/>
      <c r="J812" s="8"/>
      <c r="K812" s="8"/>
    </row>
    <row r="813">
      <c r="A813" s="8"/>
      <c r="B813" s="177"/>
      <c r="C813" s="8" t="str">
        <f>IF(ISBLANK(A813),"",VLOOKUP(A813,DOI_URL!$B$1:$C$74,2,FALSE()))</f>
        <v/>
      </c>
      <c r="D813" s="8"/>
      <c r="E813" s="8"/>
      <c r="J813" s="8"/>
      <c r="K813" s="8"/>
    </row>
    <row r="814">
      <c r="A814" s="8"/>
      <c r="B814" s="177"/>
      <c r="C814" s="8" t="str">
        <f>IF(ISBLANK(A814),"",VLOOKUP(A814,DOI_URL!$B$1:$C$74,2,FALSE()))</f>
        <v/>
      </c>
      <c r="D814" s="8"/>
      <c r="E814" s="8"/>
      <c r="J814" s="8"/>
      <c r="K814" s="8"/>
    </row>
    <row r="815">
      <c r="A815" s="8"/>
      <c r="B815" s="177"/>
      <c r="C815" s="8" t="str">
        <f>IF(ISBLANK(A815),"",VLOOKUP(A815,DOI_URL!$B$1:$C$74,2,FALSE()))</f>
        <v/>
      </c>
      <c r="D815" s="8"/>
      <c r="E815" s="8"/>
      <c r="J815" s="8"/>
      <c r="K815" s="8"/>
    </row>
    <row r="816">
      <c r="A816" s="8"/>
      <c r="B816" s="177"/>
      <c r="C816" s="8" t="str">
        <f>IF(ISBLANK(A816),"",VLOOKUP(A816,DOI_URL!$B$1:$C$74,2,FALSE()))</f>
        <v/>
      </c>
      <c r="D816" s="8"/>
      <c r="E816" s="8"/>
      <c r="J816" s="8"/>
      <c r="K816" s="8"/>
    </row>
    <row r="817">
      <c r="A817" s="8"/>
      <c r="B817" s="177"/>
      <c r="C817" s="8" t="str">
        <f>IF(ISBLANK(A817),"",VLOOKUP(A817,DOI_URL!$B$1:$C$74,2,FALSE()))</f>
        <v/>
      </c>
      <c r="D817" s="8"/>
      <c r="E817" s="8"/>
      <c r="J817" s="8"/>
      <c r="K817" s="8"/>
    </row>
    <row r="818">
      <c r="A818" s="8"/>
      <c r="B818" s="177"/>
      <c r="C818" s="8" t="str">
        <f>IF(ISBLANK(A818),"",VLOOKUP(A818,DOI_URL!$B$1:$C$74,2,FALSE()))</f>
        <v/>
      </c>
      <c r="D818" s="8"/>
      <c r="E818" s="8"/>
      <c r="J818" s="8"/>
      <c r="K818" s="8"/>
    </row>
    <row r="819">
      <c r="A819" s="8"/>
      <c r="B819" s="177"/>
      <c r="C819" s="8" t="str">
        <f>IF(ISBLANK(A819),"",VLOOKUP(A819,DOI_URL!$B$1:$C$74,2,FALSE()))</f>
        <v/>
      </c>
      <c r="D819" s="8"/>
      <c r="E819" s="8"/>
      <c r="J819" s="8"/>
      <c r="K819" s="8"/>
    </row>
    <row r="820">
      <c r="A820" s="8"/>
      <c r="B820" s="177"/>
      <c r="C820" s="8" t="str">
        <f>IF(ISBLANK(A820),"",VLOOKUP(A820,DOI_URL!$B$1:$C$74,2,FALSE()))</f>
        <v/>
      </c>
      <c r="D820" s="8"/>
      <c r="E820" s="8"/>
      <c r="J820" s="8"/>
      <c r="K820" s="8"/>
    </row>
    <row r="821">
      <c r="A821" s="8"/>
      <c r="B821" s="177"/>
      <c r="C821" s="8" t="str">
        <f>IF(ISBLANK(A821),"",VLOOKUP(A821,DOI_URL!$B$1:$C$74,2,FALSE()))</f>
        <v/>
      </c>
      <c r="D821" s="8"/>
      <c r="E821" s="8"/>
      <c r="J821" s="8"/>
      <c r="K821" s="8"/>
    </row>
    <row r="822">
      <c r="A822" s="8"/>
      <c r="B822" s="177"/>
      <c r="C822" s="8" t="str">
        <f>IF(ISBLANK(A822),"",VLOOKUP(A822,DOI_URL!$B$1:$C$74,2,FALSE()))</f>
        <v/>
      </c>
      <c r="D822" s="8"/>
      <c r="E822" s="8"/>
      <c r="J822" s="8"/>
      <c r="K822" s="8"/>
    </row>
    <row r="823">
      <c r="A823" s="8"/>
      <c r="B823" s="177"/>
      <c r="C823" s="8" t="str">
        <f>IF(ISBLANK(A823),"",VLOOKUP(A823,DOI_URL!$B$1:$C$74,2,FALSE()))</f>
        <v/>
      </c>
      <c r="D823" s="8"/>
      <c r="E823" s="8"/>
      <c r="J823" s="8"/>
      <c r="K823" s="8"/>
    </row>
    <row r="824">
      <c r="A824" s="8"/>
      <c r="B824" s="177"/>
      <c r="C824" s="8" t="str">
        <f>IF(ISBLANK(A824),"",VLOOKUP(A824,DOI_URL!$B$1:$C$74,2,FALSE()))</f>
        <v/>
      </c>
      <c r="D824" s="8"/>
      <c r="E824" s="8"/>
      <c r="J824" s="8"/>
      <c r="K824" s="8"/>
    </row>
    <row r="825">
      <c r="A825" s="8"/>
      <c r="B825" s="177"/>
      <c r="C825" s="8" t="str">
        <f>IF(ISBLANK(A825),"",VLOOKUP(A825,DOI_URL!$B$1:$C$74,2,FALSE()))</f>
        <v/>
      </c>
      <c r="D825" s="8"/>
      <c r="E825" s="8"/>
      <c r="J825" s="8"/>
      <c r="K825" s="8"/>
    </row>
    <row r="826">
      <c r="A826" s="8"/>
      <c r="B826" s="177"/>
      <c r="C826" s="8" t="str">
        <f>IF(ISBLANK(A826),"",VLOOKUP(A826,DOI_URL!$B$1:$C$74,2,FALSE()))</f>
        <v/>
      </c>
      <c r="D826" s="8"/>
      <c r="E826" s="8"/>
      <c r="J826" s="8"/>
      <c r="K826" s="8"/>
    </row>
    <row r="827">
      <c r="A827" s="8"/>
      <c r="B827" s="177"/>
      <c r="C827" s="8" t="str">
        <f>IF(ISBLANK(A827),"",VLOOKUP(A827,DOI_URL!$B$1:$C$74,2,FALSE()))</f>
        <v/>
      </c>
      <c r="D827" s="8"/>
      <c r="E827" s="8"/>
      <c r="J827" s="8"/>
      <c r="K827" s="8"/>
    </row>
    <row r="828">
      <c r="A828" s="8"/>
      <c r="B828" s="177"/>
      <c r="C828" s="8" t="str">
        <f>IF(ISBLANK(A828),"",VLOOKUP(A828,DOI_URL!$B$1:$C$74,2,FALSE()))</f>
        <v/>
      </c>
      <c r="D828" s="8"/>
      <c r="E828" s="8"/>
      <c r="J828" s="8"/>
      <c r="K828" s="8"/>
    </row>
    <row r="829">
      <c r="A829" s="8"/>
      <c r="B829" s="177"/>
      <c r="C829" s="8" t="str">
        <f>IF(ISBLANK(A829),"",VLOOKUP(A829,DOI_URL!$B$1:$C$74,2,FALSE()))</f>
        <v/>
      </c>
      <c r="D829" s="8"/>
      <c r="E829" s="8"/>
      <c r="J829" s="8"/>
      <c r="K829" s="8"/>
    </row>
    <row r="830">
      <c r="A830" s="8"/>
      <c r="B830" s="177"/>
      <c r="C830" s="8" t="str">
        <f>IF(ISBLANK(A830),"",VLOOKUP(A830,DOI_URL!$B$1:$C$74,2,FALSE()))</f>
        <v/>
      </c>
      <c r="D830" s="8"/>
      <c r="E830" s="8"/>
      <c r="J830" s="8"/>
      <c r="K830" s="8"/>
    </row>
    <row r="831">
      <c r="A831" s="8"/>
      <c r="B831" s="177"/>
      <c r="C831" s="8" t="str">
        <f>IF(ISBLANK(A831),"",VLOOKUP(A831,DOI_URL!$B$1:$C$74,2,FALSE()))</f>
        <v/>
      </c>
      <c r="D831" s="8"/>
      <c r="E831" s="8"/>
      <c r="J831" s="8"/>
      <c r="K831" s="8"/>
    </row>
    <row r="832">
      <c r="A832" s="8"/>
      <c r="B832" s="177"/>
      <c r="C832" s="8" t="str">
        <f>IF(ISBLANK(A832),"",VLOOKUP(A832,DOI_URL!$B$1:$C$74,2,FALSE()))</f>
        <v/>
      </c>
      <c r="D832" s="8"/>
      <c r="E832" s="8"/>
      <c r="J832" s="8"/>
      <c r="K832" s="8"/>
    </row>
    <row r="833">
      <c r="A833" s="8"/>
      <c r="B833" s="177"/>
      <c r="C833" s="8" t="str">
        <f>IF(ISBLANK(A833),"",VLOOKUP(A833,DOI_URL!$B$1:$C$74,2,FALSE()))</f>
        <v/>
      </c>
      <c r="D833" s="8"/>
      <c r="E833" s="8"/>
      <c r="J833" s="8"/>
      <c r="K833" s="8"/>
    </row>
    <row r="834">
      <c r="A834" s="8"/>
      <c r="B834" s="177"/>
      <c r="C834" s="8" t="str">
        <f>IF(ISBLANK(A834),"",VLOOKUP(A834,DOI_URL!$B$1:$C$74,2,FALSE()))</f>
        <v/>
      </c>
      <c r="D834" s="8"/>
      <c r="E834" s="8"/>
      <c r="J834" s="8"/>
      <c r="K834" s="8"/>
    </row>
    <row r="835">
      <c r="A835" s="8"/>
      <c r="B835" s="177"/>
      <c r="C835" s="8" t="str">
        <f>IF(ISBLANK(A835),"",VLOOKUP(A835,DOI_URL!$B$1:$C$74,2,FALSE()))</f>
        <v/>
      </c>
      <c r="D835" s="8"/>
      <c r="E835" s="8"/>
      <c r="J835" s="8"/>
      <c r="K835" s="8"/>
    </row>
    <row r="836">
      <c r="A836" s="8"/>
      <c r="B836" s="177"/>
      <c r="C836" s="8" t="str">
        <f>IF(ISBLANK(A836),"",VLOOKUP(A836,DOI_URL!$B$1:$C$74,2,FALSE()))</f>
        <v/>
      </c>
      <c r="D836" s="8"/>
      <c r="E836" s="8"/>
      <c r="J836" s="8"/>
      <c r="K836" s="8"/>
    </row>
    <row r="837">
      <c r="A837" s="8"/>
      <c r="B837" s="177"/>
      <c r="C837" s="8" t="str">
        <f>IF(ISBLANK(A837),"",VLOOKUP(A837,DOI_URL!$B$1:$C$74,2,FALSE()))</f>
        <v/>
      </c>
      <c r="D837" s="8"/>
      <c r="E837" s="8"/>
      <c r="J837" s="8"/>
      <c r="K837" s="8"/>
    </row>
    <row r="838">
      <c r="A838" s="8"/>
      <c r="B838" s="177"/>
      <c r="C838" s="8" t="str">
        <f>IF(ISBLANK(A838),"",VLOOKUP(A838,DOI_URL!$B$1:$C$74,2,FALSE()))</f>
        <v/>
      </c>
      <c r="D838" s="8"/>
      <c r="E838" s="8"/>
      <c r="J838" s="8"/>
      <c r="K838" s="8"/>
    </row>
    <row r="839">
      <c r="A839" s="8"/>
      <c r="B839" s="177"/>
      <c r="C839" s="8" t="str">
        <f>IF(ISBLANK(A839),"",VLOOKUP(A839,DOI_URL!$B$1:$C$74,2,FALSE()))</f>
        <v/>
      </c>
      <c r="D839" s="8"/>
      <c r="E839" s="8"/>
      <c r="J839" s="8"/>
      <c r="K839" s="8"/>
    </row>
    <row r="840">
      <c r="A840" s="8"/>
      <c r="B840" s="177"/>
      <c r="C840" s="8" t="str">
        <f>IF(ISBLANK(A840),"",VLOOKUP(A840,DOI_URL!$B$1:$C$74,2,FALSE()))</f>
        <v/>
      </c>
      <c r="D840" s="8"/>
      <c r="E840" s="8"/>
      <c r="J840" s="8"/>
      <c r="K840" s="8"/>
    </row>
    <row r="841">
      <c r="A841" s="8"/>
      <c r="B841" s="177"/>
      <c r="C841" s="8" t="str">
        <f>IF(ISBLANK(A841),"",VLOOKUP(A841,DOI_URL!$B$1:$C$74,2,FALSE()))</f>
        <v/>
      </c>
      <c r="D841" s="8"/>
      <c r="E841" s="8"/>
      <c r="J841" s="8"/>
      <c r="K841" s="8"/>
    </row>
    <row r="842">
      <c r="A842" s="8"/>
      <c r="B842" s="177"/>
      <c r="C842" s="8" t="str">
        <f>IF(ISBLANK(A842),"",VLOOKUP(A842,DOI_URL!$B$1:$C$74,2,FALSE()))</f>
        <v/>
      </c>
      <c r="D842" s="8"/>
      <c r="E842" s="8"/>
      <c r="J842" s="8"/>
      <c r="K842" s="8"/>
    </row>
    <row r="843">
      <c r="A843" s="8"/>
      <c r="B843" s="177"/>
      <c r="C843" s="8" t="str">
        <f>IF(ISBLANK(A843),"",VLOOKUP(A843,DOI_URL!$B$1:$C$74,2,FALSE()))</f>
        <v/>
      </c>
      <c r="D843" s="8"/>
      <c r="E843" s="8"/>
      <c r="J843" s="8"/>
      <c r="K843" s="8"/>
    </row>
    <row r="844">
      <c r="A844" s="8"/>
      <c r="B844" s="177"/>
      <c r="C844" s="8" t="str">
        <f>IF(ISBLANK(A844),"",VLOOKUP(A844,DOI_URL!$B$1:$C$74,2,FALSE()))</f>
        <v/>
      </c>
      <c r="D844" s="8"/>
      <c r="E844" s="8"/>
      <c r="J844" s="8"/>
      <c r="K844" s="8"/>
    </row>
    <row r="845">
      <c r="A845" s="8"/>
      <c r="B845" s="177"/>
      <c r="C845" s="8" t="str">
        <f>IF(ISBLANK(A845),"",VLOOKUP(A845,DOI_URL!$B$1:$C$74,2,FALSE()))</f>
        <v/>
      </c>
      <c r="D845" s="8"/>
      <c r="E845" s="8"/>
      <c r="J845" s="8"/>
      <c r="K845" s="8"/>
    </row>
    <row r="846">
      <c r="A846" s="8"/>
      <c r="B846" s="177"/>
      <c r="C846" s="8" t="str">
        <f>IF(ISBLANK(A846),"",VLOOKUP(A846,DOI_URL!$B$1:$C$74,2,FALSE()))</f>
        <v/>
      </c>
      <c r="D846" s="8"/>
      <c r="E846" s="8"/>
      <c r="J846" s="8"/>
      <c r="K846" s="8"/>
    </row>
    <row r="847">
      <c r="A847" s="8"/>
      <c r="B847" s="177"/>
      <c r="C847" s="8" t="str">
        <f>IF(ISBLANK(A847),"",VLOOKUP(A847,DOI_URL!$B$1:$C$74,2,FALSE()))</f>
        <v/>
      </c>
      <c r="D847" s="8"/>
      <c r="E847" s="8"/>
      <c r="J847" s="8"/>
      <c r="K847" s="8"/>
    </row>
    <row r="848">
      <c r="A848" s="8"/>
      <c r="B848" s="177"/>
      <c r="C848" s="8" t="str">
        <f>IF(ISBLANK(A848),"",VLOOKUP(A848,DOI_URL!$B$1:$C$74,2,FALSE()))</f>
        <v/>
      </c>
      <c r="D848" s="8"/>
      <c r="E848" s="8"/>
      <c r="J848" s="8"/>
      <c r="K848" s="8"/>
    </row>
    <row r="849">
      <c r="A849" s="8"/>
      <c r="B849" s="177"/>
      <c r="C849" s="8" t="str">
        <f>IF(ISBLANK(A849),"",VLOOKUP(A849,DOI_URL!$B$1:$C$74,2,FALSE()))</f>
        <v/>
      </c>
      <c r="D849" s="8"/>
      <c r="E849" s="8"/>
      <c r="J849" s="8"/>
      <c r="K849" s="8"/>
    </row>
    <row r="850">
      <c r="A850" s="8"/>
      <c r="B850" s="177"/>
      <c r="C850" s="8" t="str">
        <f>IF(ISBLANK(A850),"",VLOOKUP(A850,DOI_URL!$B$1:$C$74,2,FALSE()))</f>
        <v/>
      </c>
      <c r="D850" s="8"/>
      <c r="E850" s="8"/>
      <c r="J850" s="8"/>
      <c r="K850" s="8"/>
    </row>
    <row r="851">
      <c r="A851" s="8"/>
      <c r="B851" s="177"/>
      <c r="C851" s="8" t="str">
        <f>IF(ISBLANK(A851),"",VLOOKUP(A851,DOI_URL!$B$1:$C$74,2,FALSE()))</f>
        <v/>
      </c>
      <c r="D851" s="8"/>
      <c r="E851" s="8"/>
      <c r="J851" s="8"/>
      <c r="K851" s="8"/>
    </row>
    <row r="852">
      <c r="A852" s="8"/>
      <c r="B852" s="177"/>
      <c r="C852" s="8" t="str">
        <f>IF(ISBLANK(A852),"",VLOOKUP(A852,DOI_URL!$B$1:$C$74,2,FALSE()))</f>
        <v/>
      </c>
      <c r="D852" s="8"/>
      <c r="E852" s="8"/>
      <c r="J852" s="8"/>
      <c r="K852" s="8"/>
    </row>
    <row r="853">
      <c r="A853" s="8"/>
      <c r="B853" s="177"/>
      <c r="C853" s="8" t="str">
        <f>IF(ISBLANK(A853),"",VLOOKUP(A853,DOI_URL!$B$1:$C$74,2,FALSE()))</f>
        <v/>
      </c>
      <c r="D853" s="8"/>
      <c r="E853" s="8"/>
      <c r="J853" s="8"/>
      <c r="K853" s="8"/>
    </row>
    <row r="854">
      <c r="A854" s="8"/>
      <c r="B854" s="177"/>
      <c r="C854" s="8" t="str">
        <f>IF(ISBLANK(A854),"",VLOOKUP(A854,DOI_URL!$B$1:$C$74,2,FALSE()))</f>
        <v/>
      </c>
      <c r="D854" s="8"/>
      <c r="E854" s="8"/>
      <c r="J854" s="8"/>
      <c r="K854" s="8"/>
    </row>
    <row r="855">
      <c r="A855" s="8"/>
      <c r="B855" s="177"/>
      <c r="C855" s="8" t="str">
        <f>IF(ISBLANK(A855),"",VLOOKUP(A855,DOI_URL!$B$1:$C$74,2,FALSE()))</f>
        <v/>
      </c>
      <c r="D855" s="8"/>
      <c r="E855" s="8"/>
      <c r="J855" s="8"/>
      <c r="K855" s="8"/>
    </row>
    <row r="856">
      <c r="A856" s="8"/>
      <c r="B856" s="177"/>
      <c r="C856" s="8" t="str">
        <f>IF(ISBLANK(A856),"",VLOOKUP(A856,DOI_URL!$B$1:$C$74,2,FALSE()))</f>
        <v/>
      </c>
      <c r="D856" s="8"/>
      <c r="E856" s="8"/>
      <c r="J856" s="8"/>
      <c r="K856" s="8"/>
    </row>
    <row r="857">
      <c r="A857" s="8"/>
      <c r="B857" s="177"/>
      <c r="C857" s="8" t="str">
        <f>IF(ISBLANK(A857),"",VLOOKUP(A857,DOI_URL!$B$1:$C$74,2,FALSE()))</f>
        <v/>
      </c>
      <c r="D857" s="8"/>
      <c r="E857" s="8"/>
      <c r="J857" s="8"/>
      <c r="K857" s="8"/>
    </row>
    <row r="858">
      <c r="A858" s="8"/>
      <c r="B858" s="177"/>
      <c r="C858" s="8" t="str">
        <f>IF(ISBLANK(A858),"",VLOOKUP(A858,DOI_URL!$B$1:$C$74,2,FALSE()))</f>
        <v/>
      </c>
      <c r="D858" s="8"/>
      <c r="E858" s="8"/>
      <c r="J858" s="8"/>
      <c r="K858" s="8"/>
    </row>
    <row r="859">
      <c r="A859" s="8"/>
      <c r="B859" s="177"/>
      <c r="C859" s="8" t="str">
        <f>IF(ISBLANK(A859),"",VLOOKUP(A859,DOI_URL!$B$1:$C$74,2,FALSE()))</f>
        <v/>
      </c>
      <c r="D859" s="8"/>
      <c r="E859" s="8"/>
      <c r="J859" s="8"/>
      <c r="K859" s="8"/>
    </row>
    <row r="860">
      <c r="A860" s="8"/>
      <c r="B860" s="177"/>
      <c r="C860" s="8" t="str">
        <f>IF(ISBLANK(A860),"",VLOOKUP(A860,DOI_URL!$B$1:$C$74,2,FALSE()))</f>
        <v/>
      </c>
      <c r="D860" s="8"/>
      <c r="E860" s="8"/>
      <c r="J860" s="8"/>
      <c r="K860" s="8"/>
    </row>
    <row r="861">
      <c r="A861" s="8"/>
      <c r="B861" s="177"/>
      <c r="C861" s="8" t="str">
        <f>IF(ISBLANK(A861),"",VLOOKUP(A861,DOI_URL!$B$1:$C$74,2,FALSE()))</f>
        <v/>
      </c>
      <c r="D861" s="8"/>
      <c r="E861" s="8"/>
      <c r="J861" s="8"/>
      <c r="K861" s="8"/>
    </row>
    <row r="862">
      <c r="A862" s="8"/>
      <c r="B862" s="177"/>
      <c r="C862" s="8" t="str">
        <f>IF(ISBLANK(A862),"",VLOOKUP(A862,DOI_URL!$B$1:$C$74,2,FALSE()))</f>
        <v/>
      </c>
      <c r="D862" s="8"/>
      <c r="E862" s="8"/>
      <c r="J862" s="8"/>
      <c r="K862" s="8"/>
    </row>
    <row r="863">
      <c r="A863" s="8"/>
      <c r="B863" s="177"/>
      <c r="C863" s="8" t="str">
        <f>IF(ISBLANK(A863),"",VLOOKUP(A863,DOI_URL!$B$1:$C$74,2,FALSE()))</f>
        <v/>
      </c>
      <c r="D863" s="8"/>
      <c r="E863" s="8"/>
      <c r="J863" s="8"/>
      <c r="K863" s="8"/>
    </row>
    <row r="864">
      <c r="A864" s="8"/>
      <c r="B864" s="177"/>
      <c r="C864" s="8" t="str">
        <f>IF(ISBLANK(A864),"",VLOOKUP(A864,DOI_URL!$B$1:$C$74,2,FALSE()))</f>
        <v/>
      </c>
      <c r="D864" s="8"/>
      <c r="E864" s="8"/>
      <c r="J864" s="8"/>
      <c r="K864" s="8"/>
    </row>
    <row r="865">
      <c r="A865" s="8"/>
      <c r="B865" s="177"/>
      <c r="C865" s="8" t="str">
        <f>IF(ISBLANK(A865),"",VLOOKUP(A865,DOI_URL!$B$1:$C$74,2,FALSE()))</f>
        <v/>
      </c>
      <c r="D865" s="8"/>
      <c r="E865" s="8"/>
      <c r="J865" s="8"/>
      <c r="K865" s="8"/>
    </row>
    <row r="866">
      <c r="A866" s="8"/>
      <c r="B866" s="177"/>
      <c r="C866" s="8" t="str">
        <f>IF(ISBLANK(A866),"",VLOOKUP(A866,DOI_URL!$B$1:$C$74,2,FALSE()))</f>
        <v/>
      </c>
      <c r="D866" s="8"/>
      <c r="E866" s="8"/>
      <c r="J866" s="8"/>
      <c r="K866" s="8"/>
    </row>
    <row r="867">
      <c r="A867" s="8"/>
      <c r="B867" s="177"/>
      <c r="C867" s="8" t="str">
        <f>IF(ISBLANK(A867),"",VLOOKUP(A867,DOI_URL!$B$1:$C$74,2,FALSE()))</f>
        <v/>
      </c>
      <c r="D867" s="8"/>
      <c r="E867" s="8"/>
      <c r="J867" s="8"/>
      <c r="K867" s="8"/>
    </row>
    <row r="868">
      <c r="A868" s="8"/>
      <c r="B868" s="177"/>
      <c r="C868" s="8" t="str">
        <f>IF(ISBLANK(A868),"",VLOOKUP(A868,DOI_URL!$B$1:$C$74,2,FALSE()))</f>
        <v/>
      </c>
      <c r="D868" s="8"/>
      <c r="E868" s="8"/>
      <c r="J868" s="8"/>
      <c r="K868" s="8"/>
    </row>
    <row r="869">
      <c r="A869" s="8"/>
      <c r="B869" s="177"/>
      <c r="C869" s="8" t="str">
        <f>IF(ISBLANK(A869),"",VLOOKUP(A869,DOI_URL!$B$1:$C$74,2,FALSE()))</f>
        <v/>
      </c>
      <c r="D869" s="8"/>
      <c r="E869" s="8"/>
      <c r="J869" s="8"/>
      <c r="K869" s="8"/>
    </row>
    <row r="870">
      <c r="A870" s="8"/>
      <c r="B870" s="177"/>
      <c r="C870" s="8" t="str">
        <f>IF(ISBLANK(A870),"",VLOOKUP(A870,DOI_URL!$B$1:$C$74,2,FALSE()))</f>
        <v/>
      </c>
      <c r="D870" s="8"/>
      <c r="E870" s="8"/>
      <c r="J870" s="8"/>
      <c r="K870" s="8"/>
    </row>
    <row r="871">
      <c r="A871" s="8"/>
      <c r="B871" s="177"/>
      <c r="C871" s="8" t="str">
        <f>IF(ISBLANK(A871),"",VLOOKUP(A871,DOI_URL!$B$1:$C$74,2,FALSE()))</f>
        <v/>
      </c>
      <c r="D871" s="8"/>
      <c r="E871" s="8"/>
      <c r="J871" s="8"/>
      <c r="K871" s="8"/>
    </row>
    <row r="872">
      <c r="A872" s="8"/>
      <c r="B872" s="177"/>
      <c r="C872" s="8" t="str">
        <f>IF(ISBLANK(A872),"",VLOOKUP(A872,DOI_URL!$B$1:$C$74,2,FALSE()))</f>
        <v/>
      </c>
      <c r="D872" s="8"/>
      <c r="E872" s="8"/>
      <c r="J872" s="8"/>
      <c r="K872" s="8"/>
    </row>
    <row r="873">
      <c r="A873" s="8"/>
      <c r="B873" s="177"/>
      <c r="C873" s="8" t="str">
        <f>IF(ISBLANK(A873),"",VLOOKUP(A873,DOI_URL!$B$1:$C$74,2,FALSE()))</f>
        <v/>
      </c>
      <c r="D873" s="8"/>
      <c r="E873" s="8"/>
      <c r="J873" s="8"/>
      <c r="K873" s="8"/>
    </row>
    <row r="874">
      <c r="A874" s="8"/>
      <c r="B874" s="177"/>
      <c r="C874" s="8" t="str">
        <f>IF(ISBLANK(A874),"",VLOOKUP(A874,DOI_URL!$B$1:$C$74,2,FALSE()))</f>
        <v/>
      </c>
      <c r="D874" s="8"/>
      <c r="E874" s="8"/>
      <c r="J874" s="8"/>
      <c r="K874" s="8"/>
    </row>
    <row r="875">
      <c r="A875" s="8"/>
      <c r="B875" s="177"/>
      <c r="C875" s="8" t="str">
        <f>IF(ISBLANK(A875),"",VLOOKUP(A875,DOI_URL!$B$1:$C$74,2,FALSE()))</f>
        <v/>
      </c>
      <c r="D875" s="8"/>
      <c r="E875" s="8"/>
      <c r="J875" s="8"/>
      <c r="K875" s="8"/>
    </row>
    <row r="876">
      <c r="A876" s="8"/>
      <c r="B876" s="177"/>
      <c r="C876" s="8" t="str">
        <f>IF(ISBLANK(A876),"",VLOOKUP(A876,DOI_URL!$B$1:$C$74,2,FALSE()))</f>
        <v/>
      </c>
      <c r="D876" s="8"/>
      <c r="E876" s="8"/>
      <c r="J876" s="8"/>
      <c r="K876" s="8"/>
    </row>
    <row r="877">
      <c r="A877" s="8"/>
      <c r="B877" s="177"/>
      <c r="C877" s="8" t="str">
        <f>IF(ISBLANK(A877),"",VLOOKUP(A877,DOI_URL!$B$1:$C$74,2,FALSE()))</f>
        <v/>
      </c>
      <c r="D877" s="8"/>
      <c r="E877" s="8"/>
      <c r="J877" s="8"/>
      <c r="K877" s="8"/>
    </row>
    <row r="878">
      <c r="A878" s="8"/>
      <c r="B878" s="177"/>
      <c r="C878" s="8" t="str">
        <f>IF(ISBLANK(A878),"",VLOOKUP(A878,DOI_URL!$B$1:$C$74,2,FALSE()))</f>
        <v/>
      </c>
      <c r="D878" s="8"/>
      <c r="E878" s="8"/>
      <c r="J878" s="8"/>
      <c r="K878" s="8"/>
    </row>
    <row r="879">
      <c r="A879" s="8"/>
      <c r="B879" s="177"/>
      <c r="C879" s="8" t="str">
        <f>IF(ISBLANK(A879),"",VLOOKUP(A879,DOI_URL!$B$1:$C$74,2,FALSE()))</f>
        <v/>
      </c>
      <c r="D879" s="8"/>
      <c r="E879" s="8"/>
      <c r="J879" s="8"/>
      <c r="K879" s="8"/>
    </row>
    <row r="880">
      <c r="A880" s="8"/>
      <c r="B880" s="177"/>
      <c r="C880" s="8" t="str">
        <f>IF(ISBLANK(A880),"",VLOOKUP(A880,DOI_URL!$B$1:$C$74,2,FALSE()))</f>
        <v/>
      </c>
      <c r="D880" s="8"/>
      <c r="E880" s="8"/>
      <c r="J880" s="8"/>
      <c r="K880" s="8"/>
    </row>
    <row r="881">
      <c r="A881" s="8"/>
      <c r="B881" s="177"/>
      <c r="C881" s="8" t="str">
        <f>IF(ISBLANK(A881),"",VLOOKUP(A881,DOI_URL!$B$1:$C$74,2,FALSE()))</f>
        <v/>
      </c>
      <c r="D881" s="8"/>
      <c r="E881" s="8"/>
      <c r="J881" s="8"/>
      <c r="K881" s="8"/>
    </row>
    <row r="882">
      <c r="A882" s="8"/>
      <c r="B882" s="177"/>
      <c r="C882" s="8" t="str">
        <f>IF(ISBLANK(A882),"",VLOOKUP(A882,DOI_URL!$B$1:$C$74,2,FALSE()))</f>
        <v/>
      </c>
      <c r="D882" s="8"/>
      <c r="E882" s="8"/>
      <c r="J882" s="8"/>
      <c r="K882" s="8"/>
    </row>
    <row r="883">
      <c r="A883" s="8"/>
      <c r="B883" s="177"/>
      <c r="C883" s="8" t="str">
        <f>IF(ISBLANK(A883),"",VLOOKUP(A883,DOI_URL!$B$1:$C$74,2,FALSE()))</f>
        <v/>
      </c>
      <c r="D883" s="8"/>
      <c r="E883" s="8"/>
      <c r="J883" s="8"/>
      <c r="K883" s="8"/>
    </row>
    <row r="884">
      <c r="A884" s="8"/>
      <c r="B884" s="177"/>
      <c r="C884" s="8" t="str">
        <f>IF(ISBLANK(A884),"",VLOOKUP(A884,DOI_URL!$B$1:$C$74,2,FALSE()))</f>
        <v/>
      </c>
      <c r="D884" s="8"/>
      <c r="E884" s="8"/>
      <c r="J884" s="8"/>
      <c r="K884" s="8"/>
    </row>
    <row r="885">
      <c r="A885" s="8"/>
      <c r="B885" s="177"/>
      <c r="C885" s="8" t="str">
        <f>IF(ISBLANK(A885),"",VLOOKUP(A885,DOI_URL!$B$1:$C$74,2,FALSE()))</f>
        <v/>
      </c>
      <c r="D885" s="8"/>
      <c r="E885" s="8"/>
      <c r="J885" s="8"/>
      <c r="K885" s="8"/>
    </row>
    <row r="886">
      <c r="A886" s="8"/>
      <c r="B886" s="177"/>
      <c r="C886" s="8" t="str">
        <f>IF(ISBLANK(A886),"",VLOOKUP(A886,DOI_URL!$B$1:$C$74,2,FALSE()))</f>
        <v/>
      </c>
      <c r="D886" s="8"/>
      <c r="E886" s="8"/>
      <c r="J886" s="8"/>
      <c r="K886" s="8"/>
    </row>
    <row r="887">
      <c r="A887" s="8"/>
      <c r="B887" s="177"/>
      <c r="C887" s="8" t="str">
        <f>IF(ISBLANK(A887),"",VLOOKUP(A887,DOI_URL!$B$1:$C$74,2,FALSE()))</f>
        <v/>
      </c>
      <c r="D887" s="8"/>
      <c r="E887" s="8"/>
      <c r="J887" s="8"/>
      <c r="K887" s="8"/>
    </row>
    <row r="888">
      <c r="A888" s="8"/>
      <c r="B888" s="177"/>
      <c r="C888" s="8" t="str">
        <f>IF(ISBLANK(A888),"",VLOOKUP(A888,DOI_URL!$B$1:$C$74,2,FALSE()))</f>
        <v/>
      </c>
      <c r="D888" s="8"/>
      <c r="E888" s="8"/>
      <c r="J888" s="8"/>
      <c r="K888" s="8"/>
    </row>
    <row r="889">
      <c r="A889" s="8"/>
      <c r="B889" s="177"/>
      <c r="C889" s="8" t="str">
        <f>IF(ISBLANK(A889),"",VLOOKUP(A889,DOI_URL!$B$1:$C$74,2,FALSE()))</f>
        <v/>
      </c>
      <c r="D889" s="8"/>
      <c r="E889" s="8"/>
      <c r="J889" s="8"/>
      <c r="K889" s="8"/>
    </row>
    <row r="890">
      <c r="A890" s="8"/>
      <c r="B890" s="177"/>
      <c r="C890" s="8" t="str">
        <f>IF(ISBLANK(A890),"",VLOOKUP(A890,DOI_URL!$B$1:$C$74,2,FALSE()))</f>
        <v/>
      </c>
      <c r="D890" s="8"/>
      <c r="E890" s="8"/>
      <c r="J890" s="8"/>
      <c r="K890" s="8"/>
    </row>
    <row r="891">
      <c r="A891" s="8"/>
      <c r="B891" s="177"/>
      <c r="C891" s="8" t="str">
        <f>IF(ISBLANK(A891),"",VLOOKUP(A891,DOI_URL!$B$1:$C$74,2,FALSE()))</f>
        <v/>
      </c>
      <c r="D891" s="8"/>
      <c r="E891" s="8"/>
      <c r="J891" s="8"/>
      <c r="K891" s="8"/>
    </row>
    <row r="892">
      <c r="A892" s="8"/>
      <c r="B892" s="177"/>
      <c r="C892" s="8" t="str">
        <f>IF(ISBLANK(A892),"",VLOOKUP(A892,DOI_URL!$B$1:$C$74,2,FALSE()))</f>
        <v/>
      </c>
      <c r="D892" s="8"/>
      <c r="E892" s="8"/>
      <c r="J892" s="8"/>
      <c r="K892" s="8"/>
    </row>
    <row r="893">
      <c r="A893" s="8"/>
      <c r="B893" s="177"/>
      <c r="C893" s="8" t="str">
        <f>IF(ISBLANK(A893),"",VLOOKUP(A893,DOI_URL!$B$1:$C$74,2,FALSE()))</f>
        <v/>
      </c>
      <c r="D893" s="8"/>
      <c r="E893" s="8"/>
      <c r="J893" s="8"/>
      <c r="K893" s="8"/>
    </row>
    <row r="894">
      <c r="A894" s="8"/>
      <c r="B894" s="177"/>
      <c r="C894" s="8" t="str">
        <f>IF(ISBLANK(A894),"",VLOOKUP(A894,DOI_URL!$B$1:$C$74,2,FALSE()))</f>
        <v/>
      </c>
      <c r="D894" s="8"/>
      <c r="E894" s="8"/>
      <c r="J894" s="8"/>
      <c r="K894" s="8"/>
    </row>
    <row r="895">
      <c r="A895" s="8"/>
      <c r="B895" s="177"/>
      <c r="C895" s="8" t="str">
        <f>IF(ISBLANK(A895),"",VLOOKUP(A895,DOI_URL!$B$1:$C$74,2,FALSE()))</f>
        <v/>
      </c>
      <c r="D895" s="8"/>
      <c r="E895" s="8"/>
      <c r="J895" s="8"/>
      <c r="K895" s="8"/>
    </row>
    <row r="896">
      <c r="A896" s="8"/>
      <c r="B896" s="177"/>
      <c r="C896" s="8" t="str">
        <f>IF(ISBLANK(A896),"",VLOOKUP(A896,DOI_URL!$B$1:$C$74,2,FALSE()))</f>
        <v/>
      </c>
      <c r="D896" s="8"/>
      <c r="E896" s="8"/>
      <c r="J896" s="8"/>
      <c r="K896" s="8"/>
    </row>
    <row r="897">
      <c r="A897" s="8"/>
      <c r="B897" s="177"/>
      <c r="C897" s="8" t="str">
        <f>IF(ISBLANK(A897),"",VLOOKUP(A897,DOI_URL!$B$1:$C$74,2,FALSE()))</f>
        <v/>
      </c>
      <c r="D897" s="8"/>
      <c r="E897" s="8"/>
      <c r="J897" s="8"/>
      <c r="K897" s="8"/>
    </row>
    <row r="898">
      <c r="A898" s="8"/>
      <c r="B898" s="177"/>
      <c r="C898" s="8" t="str">
        <f>IF(ISBLANK(A898),"",VLOOKUP(A898,DOI_URL!$B$1:$C$74,2,FALSE()))</f>
        <v/>
      </c>
      <c r="D898" s="8"/>
      <c r="E898" s="8"/>
      <c r="J898" s="8"/>
      <c r="K898" s="8"/>
    </row>
    <row r="899">
      <c r="A899" s="8"/>
      <c r="B899" s="177"/>
      <c r="C899" s="8" t="str">
        <f>IF(ISBLANK(A899),"",VLOOKUP(A899,DOI_URL!$B$1:$C$74,2,FALSE()))</f>
        <v/>
      </c>
      <c r="D899" s="8"/>
      <c r="E899" s="8"/>
      <c r="J899" s="8"/>
      <c r="K899" s="8"/>
    </row>
    <row r="900">
      <c r="A900" s="8"/>
      <c r="B900" s="177"/>
      <c r="C900" s="8" t="str">
        <f>IF(ISBLANK(A900),"",VLOOKUP(A900,DOI_URL!$B$1:$C$74,2,FALSE()))</f>
        <v/>
      </c>
      <c r="D900" s="8"/>
      <c r="E900" s="8"/>
      <c r="J900" s="8"/>
      <c r="K900" s="8"/>
    </row>
    <row r="901">
      <c r="A901" s="8"/>
      <c r="B901" s="177"/>
      <c r="C901" s="8" t="str">
        <f>IF(ISBLANK(A901),"",VLOOKUP(A901,DOI_URL!$B$1:$C$74,2,FALSE()))</f>
        <v/>
      </c>
      <c r="D901" s="8"/>
      <c r="E901" s="8"/>
      <c r="J901" s="8"/>
      <c r="K901" s="8"/>
    </row>
    <row r="902">
      <c r="A902" s="8"/>
      <c r="B902" s="177"/>
      <c r="C902" s="8" t="str">
        <f>IF(ISBLANK(A902),"",VLOOKUP(A902,DOI_URL!$B$1:$C$74,2,FALSE()))</f>
        <v/>
      </c>
      <c r="D902" s="8"/>
      <c r="E902" s="8"/>
      <c r="J902" s="8"/>
      <c r="K902" s="8"/>
    </row>
    <row r="903">
      <c r="A903" s="8"/>
      <c r="B903" s="177"/>
      <c r="C903" s="8" t="str">
        <f>IF(ISBLANK(A903),"",VLOOKUP(A903,DOI_URL!$B$1:$C$74,2,FALSE()))</f>
        <v/>
      </c>
      <c r="D903" s="8"/>
      <c r="E903" s="8"/>
      <c r="J903" s="8"/>
      <c r="K903" s="8"/>
    </row>
    <row r="904">
      <c r="A904" s="8"/>
      <c r="B904" s="177"/>
      <c r="C904" s="8" t="str">
        <f>IF(ISBLANK(A904),"",VLOOKUP(A904,DOI_URL!$B$1:$C$74,2,FALSE()))</f>
        <v/>
      </c>
      <c r="D904" s="8"/>
      <c r="E904" s="8"/>
      <c r="J904" s="8"/>
      <c r="K904" s="8"/>
    </row>
    <row r="905">
      <c r="A905" s="8"/>
      <c r="B905" s="177"/>
      <c r="C905" s="8" t="str">
        <f>IF(ISBLANK(A905),"",VLOOKUP(A905,DOI_URL!$B$1:$C$74,2,FALSE()))</f>
        <v/>
      </c>
      <c r="D905" s="8"/>
      <c r="E905" s="8"/>
      <c r="J905" s="8"/>
      <c r="K905" s="8"/>
    </row>
    <row r="906">
      <c r="A906" s="8"/>
      <c r="B906" s="177"/>
      <c r="C906" s="8" t="str">
        <f>IF(ISBLANK(A906),"",VLOOKUP(A906,DOI_URL!$B$1:$C$74,2,FALSE()))</f>
        <v/>
      </c>
      <c r="D906" s="8"/>
      <c r="E906" s="8"/>
      <c r="J906" s="8"/>
      <c r="K906" s="8"/>
    </row>
    <row r="907">
      <c r="A907" s="8"/>
      <c r="B907" s="177"/>
      <c r="C907" s="8" t="str">
        <f>IF(ISBLANK(A907),"",VLOOKUP(A907,DOI_URL!$B$1:$C$74,2,FALSE()))</f>
        <v/>
      </c>
      <c r="D907" s="8"/>
      <c r="E907" s="8"/>
      <c r="J907" s="8"/>
      <c r="K907" s="8"/>
    </row>
    <row r="908">
      <c r="A908" s="8"/>
      <c r="B908" s="177"/>
      <c r="C908" s="8" t="str">
        <f>IF(ISBLANK(A908),"",VLOOKUP(A908,DOI_URL!$B$1:$C$74,2,FALSE()))</f>
        <v/>
      </c>
      <c r="D908" s="8"/>
      <c r="E908" s="8"/>
      <c r="J908" s="8"/>
      <c r="K908" s="8"/>
    </row>
    <row r="909">
      <c r="A909" s="8"/>
      <c r="B909" s="177"/>
      <c r="C909" s="8" t="str">
        <f>IF(ISBLANK(A909),"",VLOOKUP(A909,DOI_URL!$B$1:$C$74,2,FALSE()))</f>
        <v/>
      </c>
      <c r="D909" s="8"/>
      <c r="E909" s="8"/>
      <c r="J909" s="8"/>
      <c r="K909" s="8"/>
    </row>
    <row r="910">
      <c r="A910" s="8"/>
      <c r="B910" s="177"/>
      <c r="C910" s="8" t="str">
        <f>IF(ISBLANK(A910),"",VLOOKUP(A910,DOI_URL!$B$1:$C$74,2,FALSE()))</f>
        <v/>
      </c>
      <c r="D910" s="8"/>
      <c r="E910" s="8"/>
      <c r="J910" s="8"/>
      <c r="K910" s="8"/>
    </row>
    <row r="911">
      <c r="A911" s="8"/>
      <c r="B911" s="177"/>
      <c r="C911" s="8" t="str">
        <f>IF(ISBLANK(A911),"",VLOOKUP(A911,DOI_URL!$B$1:$C$74,2,FALSE()))</f>
        <v/>
      </c>
      <c r="D911" s="8"/>
      <c r="E911" s="8"/>
      <c r="J911" s="8"/>
      <c r="K911" s="8"/>
    </row>
    <row r="912">
      <c r="A912" s="8"/>
      <c r="B912" s="177"/>
      <c r="C912" s="8" t="str">
        <f>IF(ISBLANK(A912),"",VLOOKUP(A912,DOI_URL!$B$1:$C$74,2,FALSE()))</f>
        <v/>
      </c>
      <c r="D912" s="8"/>
      <c r="E912" s="8"/>
      <c r="J912" s="8"/>
      <c r="K912" s="8"/>
    </row>
    <row r="913">
      <c r="A913" s="8"/>
      <c r="B913" s="177"/>
      <c r="C913" s="8" t="str">
        <f>IF(ISBLANK(A913),"",VLOOKUP(A913,DOI_URL!$B$1:$C$74,2,FALSE()))</f>
        <v/>
      </c>
      <c r="D913" s="8"/>
      <c r="E913" s="8"/>
      <c r="J913" s="8"/>
      <c r="K913" s="8"/>
    </row>
    <row r="914">
      <c r="A914" s="8"/>
      <c r="B914" s="177"/>
      <c r="C914" s="8" t="str">
        <f>IF(ISBLANK(A914),"",VLOOKUP(A914,DOI_URL!$B$1:$C$74,2,FALSE()))</f>
        <v/>
      </c>
      <c r="D914" s="8"/>
      <c r="E914" s="8"/>
      <c r="J914" s="8"/>
      <c r="K914" s="8"/>
    </row>
    <row r="915">
      <c r="A915" s="8"/>
      <c r="B915" s="177"/>
      <c r="C915" s="8" t="str">
        <f>IF(ISBLANK(A915),"",VLOOKUP(A915,DOI_URL!$B$1:$C$74,2,FALSE()))</f>
        <v/>
      </c>
      <c r="D915" s="8"/>
      <c r="E915" s="8"/>
      <c r="J915" s="8"/>
      <c r="K915" s="8"/>
    </row>
    <row r="916">
      <c r="A916" s="8"/>
      <c r="B916" s="177"/>
      <c r="C916" s="8" t="str">
        <f>IF(ISBLANK(A916),"",VLOOKUP(A916,DOI_URL!$B$1:$C$74,2,FALSE()))</f>
        <v/>
      </c>
      <c r="D916" s="8"/>
      <c r="E916" s="8"/>
      <c r="J916" s="8"/>
      <c r="K916" s="8"/>
    </row>
    <row r="917">
      <c r="A917" s="8"/>
      <c r="B917" s="177"/>
      <c r="C917" s="8" t="str">
        <f>IF(ISBLANK(A917),"",VLOOKUP(A917,DOI_URL!$B$1:$C$74,2,FALSE()))</f>
        <v/>
      </c>
      <c r="D917" s="8"/>
      <c r="E917" s="8"/>
      <c r="J917" s="8"/>
      <c r="K917" s="8"/>
    </row>
    <row r="918">
      <c r="A918" s="8"/>
      <c r="B918" s="177"/>
      <c r="C918" s="8" t="str">
        <f>IF(ISBLANK(A918),"",VLOOKUP(A918,DOI_URL!$B$1:$C$74,2,FALSE()))</f>
        <v/>
      </c>
      <c r="D918" s="8"/>
      <c r="E918" s="8"/>
      <c r="J918" s="8"/>
      <c r="K918" s="8"/>
    </row>
    <row r="919">
      <c r="A919" s="8"/>
      <c r="B919" s="177"/>
      <c r="C919" s="8" t="str">
        <f>IF(ISBLANK(A919),"",VLOOKUP(A919,DOI_URL!$B$1:$C$74,2,FALSE()))</f>
        <v/>
      </c>
      <c r="D919" s="8"/>
      <c r="E919" s="8"/>
      <c r="J919" s="8"/>
      <c r="K919" s="8"/>
    </row>
    <row r="920">
      <c r="A920" s="8"/>
      <c r="B920" s="177"/>
      <c r="C920" s="8" t="str">
        <f>IF(ISBLANK(A920),"",VLOOKUP(A920,DOI_URL!$B$1:$C$74,2,FALSE()))</f>
        <v/>
      </c>
      <c r="D920" s="8"/>
      <c r="E920" s="8"/>
      <c r="J920" s="8"/>
      <c r="K920" s="8"/>
    </row>
    <row r="921">
      <c r="A921" s="8"/>
      <c r="B921" s="177"/>
      <c r="C921" s="8" t="str">
        <f>IF(ISBLANK(A921),"",VLOOKUP(A921,DOI_URL!$B$1:$C$74,2,FALSE()))</f>
        <v/>
      </c>
      <c r="D921" s="8"/>
      <c r="E921" s="8"/>
      <c r="J921" s="8"/>
      <c r="K921" s="8"/>
    </row>
    <row r="922">
      <c r="A922" s="8"/>
      <c r="B922" s="177"/>
      <c r="C922" s="8" t="str">
        <f>IF(ISBLANK(A922),"",VLOOKUP(A922,DOI_URL!$B$1:$C$74,2,FALSE()))</f>
        <v/>
      </c>
      <c r="D922" s="8"/>
      <c r="E922" s="8"/>
      <c r="J922" s="8"/>
      <c r="K922" s="8"/>
    </row>
    <row r="923">
      <c r="A923" s="8"/>
      <c r="B923" s="177"/>
      <c r="C923" s="8" t="str">
        <f>IF(ISBLANK(A923),"",VLOOKUP(A923,DOI_URL!$B$1:$C$74,2,FALSE()))</f>
        <v/>
      </c>
      <c r="D923" s="8"/>
      <c r="E923" s="8"/>
      <c r="J923" s="8"/>
      <c r="K923" s="8"/>
    </row>
    <row r="924">
      <c r="A924" s="8"/>
      <c r="B924" s="177"/>
      <c r="C924" s="8" t="str">
        <f>IF(ISBLANK(A924),"",VLOOKUP(A924,DOI_URL!$B$1:$C$74,2,FALSE()))</f>
        <v/>
      </c>
      <c r="D924" s="8"/>
      <c r="E924" s="8"/>
      <c r="J924" s="8"/>
      <c r="K924" s="8"/>
    </row>
    <row r="925">
      <c r="A925" s="8"/>
      <c r="B925" s="177"/>
      <c r="C925" s="8" t="str">
        <f>IF(ISBLANK(A925),"",VLOOKUP(A925,DOI_URL!$B$1:$C$74,2,FALSE()))</f>
        <v/>
      </c>
      <c r="D925" s="8"/>
      <c r="E925" s="8"/>
      <c r="J925" s="8"/>
      <c r="K925" s="8"/>
    </row>
    <row r="926">
      <c r="A926" s="8"/>
      <c r="B926" s="177"/>
      <c r="C926" s="8" t="str">
        <f>IF(ISBLANK(A926),"",VLOOKUP(A926,DOI_URL!$B$1:$C$74,2,FALSE()))</f>
        <v/>
      </c>
      <c r="D926" s="8"/>
      <c r="E926" s="8"/>
      <c r="J926" s="8"/>
      <c r="K926" s="8"/>
    </row>
    <row r="927">
      <c r="A927" s="8"/>
      <c r="B927" s="177"/>
      <c r="C927" s="8" t="str">
        <f>IF(ISBLANK(A927),"",VLOOKUP(A927,DOI_URL!$B$1:$C$74,2,FALSE()))</f>
        <v/>
      </c>
      <c r="D927" s="8"/>
      <c r="E927" s="8"/>
      <c r="J927" s="8"/>
      <c r="K927" s="8"/>
    </row>
    <row r="928">
      <c r="A928" s="8"/>
      <c r="B928" s="177"/>
      <c r="C928" s="8" t="str">
        <f>IF(ISBLANK(A928),"",VLOOKUP(A928,DOI_URL!$B$1:$C$74,2,FALSE()))</f>
        <v/>
      </c>
      <c r="D928" s="8"/>
      <c r="E928" s="8"/>
      <c r="J928" s="8"/>
      <c r="K928" s="8"/>
    </row>
    <row r="929">
      <c r="A929" s="8"/>
      <c r="B929" s="177"/>
      <c r="C929" s="8" t="str">
        <f>IF(ISBLANK(A929),"",VLOOKUP(A929,DOI_URL!$B$1:$C$74,2,FALSE()))</f>
        <v/>
      </c>
      <c r="D929" s="8"/>
      <c r="E929" s="8"/>
      <c r="J929" s="8"/>
      <c r="K929" s="8"/>
    </row>
    <row r="930">
      <c r="A930" s="8"/>
      <c r="B930" s="177"/>
      <c r="C930" s="8" t="str">
        <f>IF(ISBLANK(A930),"",VLOOKUP(A930,DOI_URL!$B$1:$C$74,2,FALSE()))</f>
        <v/>
      </c>
      <c r="D930" s="8"/>
      <c r="E930" s="8"/>
      <c r="J930" s="8"/>
      <c r="K930" s="8"/>
    </row>
    <row r="931">
      <c r="A931" s="8"/>
      <c r="B931" s="177"/>
      <c r="C931" s="8" t="str">
        <f>IF(ISBLANK(A931),"",VLOOKUP(A931,DOI_URL!$B$1:$C$74,2,FALSE()))</f>
        <v/>
      </c>
      <c r="D931" s="8"/>
      <c r="E931" s="8"/>
      <c r="J931" s="8"/>
      <c r="K931" s="8"/>
    </row>
    <row r="932">
      <c r="A932" s="8"/>
      <c r="B932" s="177"/>
      <c r="C932" s="8" t="str">
        <f>IF(ISBLANK(A932),"",VLOOKUP(A932,DOI_URL!$B$1:$C$74,2,FALSE()))</f>
        <v/>
      </c>
      <c r="D932" s="8"/>
      <c r="E932" s="8"/>
      <c r="J932" s="8"/>
      <c r="K932" s="8"/>
    </row>
    <row r="933">
      <c r="A933" s="8"/>
      <c r="B933" s="177"/>
      <c r="C933" s="8" t="str">
        <f>IF(ISBLANK(A933),"",VLOOKUP(A933,DOI_URL!$B$1:$C$74,2,FALSE()))</f>
        <v/>
      </c>
      <c r="D933" s="8"/>
      <c r="E933" s="8"/>
      <c r="J933" s="8"/>
      <c r="K933" s="8"/>
    </row>
    <row r="934">
      <c r="A934" s="8"/>
      <c r="B934" s="177"/>
      <c r="C934" s="8" t="str">
        <f>IF(ISBLANK(A934),"",VLOOKUP(A934,DOI_URL!$B$1:$C$74,2,FALSE()))</f>
        <v/>
      </c>
      <c r="D934" s="8"/>
      <c r="E934" s="8"/>
      <c r="J934" s="8"/>
      <c r="K934" s="8"/>
    </row>
    <row r="935">
      <c r="A935" s="8"/>
      <c r="B935" s="177"/>
      <c r="C935" s="8" t="str">
        <f>IF(ISBLANK(A935),"",VLOOKUP(A935,DOI_URL!$B$1:$C$74,2,FALSE()))</f>
        <v/>
      </c>
      <c r="D935" s="8"/>
      <c r="E935" s="8"/>
      <c r="J935" s="8"/>
      <c r="K935" s="8"/>
    </row>
    <row r="936">
      <c r="A936" s="8"/>
      <c r="B936" s="177"/>
      <c r="C936" s="8" t="str">
        <f>IF(ISBLANK(A936),"",VLOOKUP(A936,DOI_URL!$B$1:$C$74,2,FALSE()))</f>
        <v/>
      </c>
      <c r="D936" s="8"/>
      <c r="E936" s="8"/>
      <c r="J936" s="8"/>
      <c r="K936" s="8"/>
    </row>
    <row r="937">
      <c r="A937" s="8"/>
      <c r="B937" s="177"/>
      <c r="C937" s="8" t="str">
        <f>IF(ISBLANK(A937),"",VLOOKUP(A937,DOI_URL!$B$1:$C$74,2,FALSE()))</f>
        <v/>
      </c>
      <c r="D937" s="8"/>
      <c r="E937" s="8"/>
      <c r="J937" s="8"/>
      <c r="K937" s="8"/>
    </row>
    <row r="938">
      <c r="A938" s="8"/>
      <c r="B938" s="177"/>
      <c r="C938" s="8" t="str">
        <f>IF(ISBLANK(A938),"",VLOOKUP(A938,DOI_URL!$B$1:$C$74,2,FALSE()))</f>
        <v/>
      </c>
      <c r="D938" s="8"/>
      <c r="E938" s="8"/>
      <c r="J938" s="8"/>
      <c r="K938" s="8"/>
    </row>
    <row r="939">
      <c r="A939" s="8"/>
      <c r="B939" s="177"/>
      <c r="C939" s="8" t="str">
        <f>IF(ISBLANK(A939),"",VLOOKUP(A939,DOI_URL!$B$1:$C$74,2,FALSE()))</f>
        <v/>
      </c>
      <c r="D939" s="8"/>
      <c r="E939" s="8"/>
      <c r="J939" s="8"/>
      <c r="K939" s="8"/>
    </row>
    <row r="940">
      <c r="A940" s="8"/>
      <c r="B940" s="177"/>
      <c r="C940" s="8" t="str">
        <f>IF(ISBLANK(A940),"",VLOOKUP(A940,DOI_URL!$B$1:$C$74,2,FALSE()))</f>
        <v/>
      </c>
      <c r="D940" s="8"/>
      <c r="E940" s="8"/>
      <c r="J940" s="8"/>
      <c r="K940" s="8"/>
    </row>
    <row r="941">
      <c r="A941" s="8"/>
      <c r="B941" s="177"/>
      <c r="C941" s="8" t="str">
        <f>IF(ISBLANK(A941),"",VLOOKUP(A941,DOI_URL!$B$1:$C$74,2,FALSE()))</f>
        <v/>
      </c>
      <c r="D941" s="8"/>
      <c r="E941" s="8"/>
      <c r="J941" s="8"/>
      <c r="K941" s="8"/>
    </row>
    <row r="942">
      <c r="A942" s="8"/>
      <c r="B942" s="177"/>
      <c r="C942" s="8" t="str">
        <f>IF(ISBLANK(A942),"",VLOOKUP(A942,DOI_URL!$B$1:$C$74,2,FALSE()))</f>
        <v/>
      </c>
      <c r="D942" s="8"/>
      <c r="E942" s="8"/>
      <c r="J942" s="8"/>
      <c r="K942" s="8"/>
    </row>
    <row r="943">
      <c r="A943" s="8"/>
      <c r="B943" s="177"/>
      <c r="C943" s="8" t="str">
        <f>IF(ISBLANK(A943),"",VLOOKUP(A943,DOI_URL!$B$1:$C$74,2,FALSE()))</f>
        <v/>
      </c>
      <c r="D943" s="8"/>
      <c r="E943" s="8"/>
      <c r="J943" s="8"/>
      <c r="K943" s="8"/>
    </row>
    <row r="944">
      <c r="A944" s="8"/>
      <c r="B944" s="177"/>
      <c r="C944" s="8" t="str">
        <f>IF(ISBLANK(A944),"",VLOOKUP(A944,DOI_URL!$B$1:$C$74,2,FALSE()))</f>
        <v/>
      </c>
      <c r="D944" s="8"/>
      <c r="E944" s="8"/>
      <c r="J944" s="8"/>
      <c r="K944" s="8"/>
    </row>
    <row r="945">
      <c r="A945" s="8"/>
      <c r="B945" s="177"/>
      <c r="C945" s="8" t="str">
        <f>IF(ISBLANK(A945),"",VLOOKUP(A945,DOI_URL!$B$1:$C$74,2,FALSE()))</f>
        <v/>
      </c>
      <c r="D945" s="8"/>
      <c r="E945" s="8"/>
      <c r="J945" s="8"/>
      <c r="K945" s="8"/>
    </row>
    <row r="946">
      <c r="A946" s="8"/>
      <c r="B946" s="177"/>
      <c r="C946" s="8" t="str">
        <f>IF(ISBLANK(A946),"",VLOOKUP(A946,DOI_URL!$B$1:$C$74,2,FALSE()))</f>
        <v/>
      </c>
      <c r="D946" s="8"/>
      <c r="E946" s="8"/>
      <c r="J946" s="8"/>
      <c r="K946" s="8"/>
    </row>
    <row r="947">
      <c r="A947" s="8"/>
      <c r="B947" s="177"/>
      <c r="C947" s="8" t="str">
        <f>IF(ISBLANK(A947),"",VLOOKUP(A947,DOI_URL!$B$1:$C$74,2,FALSE()))</f>
        <v/>
      </c>
      <c r="D947" s="8"/>
      <c r="E947" s="8"/>
      <c r="J947" s="8"/>
      <c r="K947" s="8"/>
    </row>
    <row r="948">
      <c r="A948" s="8"/>
      <c r="B948" s="177"/>
      <c r="C948" s="8" t="str">
        <f>IF(ISBLANK(A948),"",VLOOKUP(A948,DOI_URL!$B$1:$C$74,2,FALSE()))</f>
        <v/>
      </c>
      <c r="D948" s="8"/>
      <c r="E948" s="8"/>
      <c r="J948" s="8"/>
      <c r="K948" s="8"/>
    </row>
    <row r="949">
      <c r="A949" s="8"/>
      <c r="B949" s="177"/>
      <c r="C949" s="8" t="str">
        <f>IF(ISBLANK(A949),"",VLOOKUP(A949,DOI_URL!$B$1:$C$74,2,FALSE()))</f>
        <v/>
      </c>
      <c r="D949" s="8"/>
      <c r="E949" s="8"/>
      <c r="J949" s="8"/>
      <c r="K949" s="8"/>
    </row>
    <row r="950">
      <c r="A950" s="8"/>
      <c r="B950" s="177"/>
      <c r="C950" s="8" t="str">
        <f>IF(ISBLANK(A950),"",VLOOKUP(A950,DOI_URL!$B$1:$C$74,2,FALSE()))</f>
        <v/>
      </c>
      <c r="D950" s="8"/>
      <c r="E950" s="8"/>
      <c r="J950" s="8"/>
      <c r="K950" s="8"/>
    </row>
    <row r="951">
      <c r="A951" s="8"/>
      <c r="B951" s="177"/>
      <c r="C951" s="8" t="str">
        <f>IF(ISBLANK(A951),"",VLOOKUP(A951,DOI_URL!$B$1:$C$74,2,FALSE()))</f>
        <v/>
      </c>
      <c r="D951" s="8"/>
      <c r="E951" s="8"/>
      <c r="J951" s="8"/>
      <c r="K951" s="8"/>
    </row>
    <row r="952">
      <c r="A952" s="8"/>
      <c r="B952" s="177"/>
      <c r="C952" s="8" t="str">
        <f>IF(ISBLANK(A952),"",VLOOKUP(A952,DOI_URL!$B$1:$C$74,2,FALSE()))</f>
        <v/>
      </c>
      <c r="D952" s="8"/>
      <c r="E952" s="8"/>
      <c r="J952" s="8"/>
      <c r="K952" s="8"/>
    </row>
    <row r="953">
      <c r="A953" s="8"/>
      <c r="B953" s="177"/>
      <c r="C953" s="8" t="str">
        <f>IF(ISBLANK(A953),"",VLOOKUP(A953,DOI_URL!$B$1:$C$74,2,FALSE()))</f>
        <v/>
      </c>
      <c r="D953" s="8"/>
      <c r="E953" s="8"/>
      <c r="J953" s="8"/>
      <c r="K953" s="8"/>
    </row>
    <row r="954">
      <c r="A954" s="8"/>
      <c r="B954" s="177"/>
      <c r="C954" s="8" t="str">
        <f>IF(ISBLANK(A954),"",VLOOKUP(A954,DOI_URL!$B$1:$C$74,2,FALSE()))</f>
        <v/>
      </c>
      <c r="D954" s="8"/>
      <c r="E954" s="8"/>
      <c r="J954" s="8"/>
      <c r="K954" s="8"/>
    </row>
    <row r="955">
      <c r="A955" s="8"/>
      <c r="B955" s="177"/>
      <c r="C955" s="8" t="str">
        <f>IF(ISBLANK(A955),"",VLOOKUP(A955,DOI_URL!$B$1:$C$74,2,FALSE()))</f>
        <v/>
      </c>
      <c r="D955" s="8"/>
      <c r="E955" s="8"/>
      <c r="J955" s="8"/>
      <c r="K955" s="8"/>
    </row>
    <row r="956">
      <c r="A956" s="8"/>
      <c r="B956" s="177"/>
      <c r="C956" s="8" t="str">
        <f>IF(ISBLANK(A956),"",VLOOKUP(A956,DOI_URL!$B$1:$C$74,2,FALSE()))</f>
        <v/>
      </c>
      <c r="D956" s="8"/>
      <c r="E956" s="8"/>
      <c r="J956" s="8"/>
      <c r="K956" s="8"/>
    </row>
    <row r="957">
      <c r="A957" s="8"/>
      <c r="B957" s="177"/>
      <c r="C957" s="8" t="str">
        <f>IF(ISBLANK(A957),"",VLOOKUP(A957,DOI_URL!$B$1:$C$74,2,FALSE()))</f>
        <v/>
      </c>
      <c r="D957" s="8"/>
      <c r="E957" s="8"/>
      <c r="J957" s="8"/>
      <c r="K957" s="8"/>
    </row>
    <row r="958">
      <c r="A958" s="8"/>
      <c r="B958" s="177"/>
      <c r="C958" s="8" t="str">
        <f>IF(ISBLANK(A958),"",VLOOKUP(A958,DOI_URL!$B$1:$C$74,2,FALSE()))</f>
        <v/>
      </c>
      <c r="D958" s="8"/>
      <c r="E958" s="8"/>
      <c r="J958" s="8"/>
      <c r="K958" s="8"/>
    </row>
    <row r="959">
      <c r="A959" s="8"/>
      <c r="B959" s="177"/>
      <c r="C959" s="8" t="str">
        <f>IF(ISBLANK(A959),"",VLOOKUP(A959,DOI_URL!$B$1:$C$74,2,FALSE()))</f>
        <v/>
      </c>
      <c r="D959" s="8"/>
      <c r="E959" s="8"/>
      <c r="J959" s="8"/>
      <c r="K959" s="8"/>
    </row>
    <row r="960">
      <c r="A960" s="8"/>
      <c r="B960" s="177"/>
      <c r="C960" s="8" t="str">
        <f>IF(ISBLANK(A960),"",VLOOKUP(A960,DOI_URL!$B$1:$C$74,2,FALSE()))</f>
        <v/>
      </c>
      <c r="D960" s="8"/>
      <c r="E960" s="8"/>
      <c r="J960" s="8"/>
      <c r="K960" s="8"/>
    </row>
    <row r="961">
      <c r="A961" s="8"/>
      <c r="B961" s="177"/>
      <c r="C961" s="8" t="str">
        <f>IF(ISBLANK(A961),"",VLOOKUP(A961,DOI_URL!$B$1:$C$74,2,FALSE()))</f>
        <v/>
      </c>
      <c r="D961" s="8"/>
      <c r="E961" s="8"/>
      <c r="J961" s="8"/>
      <c r="K961" s="8"/>
    </row>
    <row r="962">
      <c r="A962" s="8"/>
      <c r="B962" s="177"/>
      <c r="C962" s="8" t="str">
        <f>IF(ISBLANK(A962),"",VLOOKUP(A962,DOI_URL!$B$1:$C$74,2,FALSE()))</f>
        <v/>
      </c>
      <c r="D962" s="8"/>
      <c r="E962" s="8"/>
      <c r="J962" s="8"/>
      <c r="K962" s="8"/>
    </row>
    <row r="963">
      <c r="A963" s="8"/>
      <c r="B963" s="177"/>
      <c r="C963" s="8" t="str">
        <f>IF(ISBLANK(A963),"",VLOOKUP(A963,DOI_URL!$B$1:$C$74,2,FALSE()))</f>
        <v/>
      </c>
      <c r="D963" s="8"/>
      <c r="E963" s="8"/>
      <c r="J963" s="8"/>
      <c r="K963" s="8"/>
    </row>
    <row r="964">
      <c r="A964" s="8"/>
      <c r="B964" s="177"/>
      <c r="C964" s="8" t="str">
        <f>IF(ISBLANK(A964),"",VLOOKUP(A964,DOI_URL!$B$1:$C$74,2,FALSE()))</f>
        <v/>
      </c>
      <c r="D964" s="8"/>
      <c r="E964" s="8"/>
      <c r="J964" s="8"/>
      <c r="K964" s="8"/>
    </row>
    <row r="965">
      <c r="A965" s="8"/>
      <c r="B965" s="177"/>
      <c r="C965" s="8" t="str">
        <f>IF(ISBLANK(A965),"",VLOOKUP(A965,DOI_URL!$B$1:$C$74,2,FALSE()))</f>
        <v/>
      </c>
      <c r="D965" s="8"/>
      <c r="E965" s="8"/>
      <c r="J965" s="8"/>
      <c r="K965" s="8"/>
    </row>
    <row r="966">
      <c r="A966" s="8"/>
      <c r="B966" s="177"/>
      <c r="C966" s="8" t="str">
        <f>IF(ISBLANK(A966),"",VLOOKUP(A966,DOI_URL!$B$1:$C$74,2,FALSE()))</f>
        <v/>
      </c>
      <c r="D966" s="8"/>
      <c r="E966" s="8"/>
      <c r="J966" s="8"/>
      <c r="K966" s="8"/>
    </row>
    <row r="967">
      <c r="A967" s="8"/>
      <c r="B967" s="177"/>
      <c r="C967" s="8" t="str">
        <f>IF(ISBLANK(A967),"",VLOOKUP(A967,DOI_URL!$B$1:$C$74,2,FALSE()))</f>
        <v/>
      </c>
      <c r="D967" s="8"/>
      <c r="E967" s="8"/>
      <c r="J967" s="8"/>
      <c r="K967" s="8"/>
    </row>
    <row r="968">
      <c r="A968" s="8"/>
      <c r="B968" s="177"/>
      <c r="C968" s="8" t="str">
        <f>IF(ISBLANK(A968),"",VLOOKUP(A968,DOI_URL!$B$1:$C$74,2,FALSE()))</f>
        <v/>
      </c>
      <c r="D968" s="8"/>
      <c r="E968" s="8"/>
      <c r="J968" s="8"/>
      <c r="K968" s="8"/>
    </row>
    <row r="969">
      <c r="A969" s="8"/>
      <c r="B969" s="177"/>
      <c r="C969" s="8" t="str">
        <f>IF(ISBLANK(A969),"",VLOOKUP(A969,DOI_URL!$B$1:$C$74,2,FALSE()))</f>
        <v/>
      </c>
      <c r="D969" s="8"/>
      <c r="E969" s="8"/>
      <c r="J969" s="8"/>
      <c r="K969" s="8"/>
    </row>
    <row r="970">
      <c r="A970" s="8"/>
      <c r="B970" s="177"/>
      <c r="C970" s="8" t="str">
        <f>IF(ISBLANK(A970),"",VLOOKUP(A970,DOI_URL!$B$1:$C$74,2,FALSE()))</f>
        <v/>
      </c>
      <c r="D970" s="8"/>
      <c r="E970" s="8"/>
      <c r="J970" s="8"/>
      <c r="K970" s="8"/>
    </row>
    <row r="971">
      <c r="A971" s="8"/>
      <c r="B971" s="177"/>
      <c r="C971" s="8" t="str">
        <f>IF(ISBLANK(A971),"",VLOOKUP(A971,DOI_URL!$B$1:$C$74,2,FALSE()))</f>
        <v/>
      </c>
      <c r="D971" s="8"/>
      <c r="E971" s="8"/>
      <c r="J971" s="8"/>
      <c r="K971" s="8"/>
    </row>
    <row r="972">
      <c r="A972" s="8"/>
      <c r="B972" s="177"/>
      <c r="C972" s="8" t="str">
        <f>IF(ISBLANK(A972),"",VLOOKUP(A972,DOI_URL!$B$1:$C$74,2,FALSE()))</f>
        <v/>
      </c>
      <c r="D972" s="8"/>
      <c r="E972" s="8"/>
      <c r="J972" s="8"/>
      <c r="K972" s="8"/>
    </row>
    <row r="973">
      <c r="A973" s="8"/>
      <c r="B973" s="177"/>
      <c r="C973" s="8" t="str">
        <f>IF(ISBLANK(A973),"",VLOOKUP(A973,DOI_URL!$B$1:$C$74,2,FALSE()))</f>
        <v/>
      </c>
      <c r="D973" s="8"/>
      <c r="E973" s="8"/>
      <c r="J973" s="8"/>
      <c r="K973" s="8"/>
    </row>
    <row r="974">
      <c r="A974" s="8"/>
      <c r="B974" s="177"/>
      <c r="C974" s="8" t="str">
        <f>IF(ISBLANK(A974),"",VLOOKUP(A974,DOI_URL!$B$1:$C$74,2,FALSE()))</f>
        <v/>
      </c>
      <c r="D974" s="8"/>
      <c r="E974" s="8"/>
      <c r="J974" s="8"/>
      <c r="K974" s="8"/>
    </row>
    <row r="975">
      <c r="A975" s="8"/>
      <c r="B975" s="177"/>
      <c r="C975" s="8" t="str">
        <f>IF(ISBLANK(A975),"",VLOOKUP(A975,DOI_URL!$B$1:$C$74,2,FALSE()))</f>
        <v/>
      </c>
      <c r="D975" s="8"/>
      <c r="E975" s="8"/>
      <c r="J975" s="8"/>
      <c r="K975" s="8"/>
    </row>
    <row r="976">
      <c r="A976" s="8"/>
      <c r="B976" s="177"/>
      <c r="C976" s="8" t="str">
        <f>IF(ISBLANK(A976),"",VLOOKUP(A976,DOI_URL!$B$1:$C$74,2,FALSE()))</f>
        <v/>
      </c>
      <c r="D976" s="8"/>
      <c r="E976" s="8"/>
      <c r="J976" s="8"/>
      <c r="K976" s="8"/>
    </row>
    <row r="977">
      <c r="A977" s="8"/>
      <c r="B977" s="177"/>
      <c r="C977" s="8" t="str">
        <f>IF(ISBLANK(A977),"",VLOOKUP(A977,DOI_URL!$B$1:$C$74,2,FALSE()))</f>
        <v/>
      </c>
      <c r="D977" s="8"/>
      <c r="E977" s="8"/>
      <c r="J977" s="8"/>
      <c r="K977" s="8"/>
    </row>
    <row r="978">
      <c r="A978" s="8"/>
      <c r="B978" s="177"/>
      <c r="C978" s="8" t="str">
        <f>IF(ISBLANK(A978),"",VLOOKUP(A978,DOI_URL!$B$1:$C$74,2,FALSE()))</f>
        <v/>
      </c>
      <c r="D978" s="8"/>
      <c r="E978" s="8"/>
      <c r="J978" s="8"/>
      <c r="K978" s="8"/>
    </row>
    <row r="979">
      <c r="A979" s="8"/>
      <c r="B979" s="177"/>
      <c r="C979" s="8" t="str">
        <f>IF(ISBLANK(A979),"",VLOOKUP(A979,DOI_URL!$B$1:$C$74,2,FALSE()))</f>
        <v/>
      </c>
      <c r="D979" s="8"/>
      <c r="E979" s="8"/>
      <c r="J979" s="8"/>
      <c r="K979" s="8"/>
    </row>
    <row r="980">
      <c r="A980" s="8"/>
      <c r="B980" s="177"/>
      <c r="C980" s="8" t="str">
        <f>IF(ISBLANK(A980),"",VLOOKUP(A980,DOI_URL!$B$1:$C$74,2,FALSE()))</f>
        <v/>
      </c>
      <c r="D980" s="8"/>
      <c r="E980" s="8"/>
      <c r="J980" s="8"/>
      <c r="K980" s="8"/>
    </row>
    <row r="981">
      <c r="A981" s="8"/>
      <c r="B981" s="177"/>
      <c r="C981" s="8" t="str">
        <f>IF(ISBLANK(A981),"",VLOOKUP(A981,DOI_URL!$B$1:$C$74,2,FALSE()))</f>
        <v/>
      </c>
      <c r="D981" s="8"/>
      <c r="E981" s="8"/>
      <c r="J981" s="8"/>
      <c r="K981" s="8"/>
    </row>
    <row r="982">
      <c r="A982" s="8"/>
      <c r="B982" s="177"/>
      <c r="C982" s="8" t="str">
        <f>IF(ISBLANK(A982),"",VLOOKUP(A982,DOI_URL!$B$1:$C$74,2,FALSE()))</f>
        <v/>
      </c>
      <c r="D982" s="8"/>
      <c r="E982" s="8"/>
      <c r="J982" s="8"/>
      <c r="K982" s="8"/>
    </row>
    <row r="983">
      <c r="A983" s="8"/>
      <c r="B983" s="177"/>
      <c r="C983" s="8" t="str">
        <f>IF(ISBLANK(A983),"",VLOOKUP(A983,DOI_URL!$B$1:$C$74,2,FALSE()))</f>
        <v/>
      </c>
      <c r="D983" s="8"/>
      <c r="E983" s="8"/>
      <c r="J983" s="8"/>
      <c r="K983" s="8"/>
    </row>
    <row r="984">
      <c r="A984" s="8"/>
      <c r="B984" s="177"/>
      <c r="C984" s="8" t="str">
        <f>IF(ISBLANK(A984),"",VLOOKUP(A984,DOI_URL!$B$1:$C$74,2,FALSE()))</f>
        <v/>
      </c>
      <c r="D984" s="8"/>
      <c r="E984" s="8"/>
      <c r="J984" s="8"/>
      <c r="K984" s="8"/>
    </row>
    <row r="985">
      <c r="A985" s="8"/>
      <c r="B985" s="177"/>
      <c r="C985" s="8" t="str">
        <f>IF(ISBLANK(A985),"",VLOOKUP(A985,DOI_URL!$B$1:$C$74,2,FALSE()))</f>
        <v/>
      </c>
      <c r="D985" s="8"/>
      <c r="E985" s="8"/>
      <c r="J985" s="8"/>
      <c r="K985" s="8"/>
    </row>
    <row r="986">
      <c r="A986" s="8"/>
      <c r="B986" s="177"/>
      <c r="C986" s="8" t="str">
        <f>IF(ISBLANK(A986),"",VLOOKUP(A986,DOI_URL!$B$1:$C$74,2,FALSE()))</f>
        <v/>
      </c>
      <c r="D986" s="8"/>
      <c r="E986" s="8"/>
      <c r="J986" s="8"/>
      <c r="K986" s="8"/>
    </row>
    <row r="987">
      <c r="A987" s="8"/>
      <c r="B987" s="177"/>
      <c r="C987" s="8" t="str">
        <f>IF(ISBLANK(A987),"",VLOOKUP(A987,DOI_URL!$B$1:$C$74,2,FALSE()))</f>
        <v/>
      </c>
      <c r="D987" s="8"/>
      <c r="E987" s="8"/>
      <c r="J987" s="8"/>
      <c r="K987" s="8"/>
    </row>
    <row r="988">
      <c r="A988" s="8"/>
      <c r="B988" s="177"/>
      <c r="C988" s="8" t="str">
        <f>IF(ISBLANK(A988),"",VLOOKUP(A988,DOI_URL!$B$1:$C$74,2,FALSE()))</f>
        <v/>
      </c>
      <c r="D988" s="8"/>
      <c r="E988" s="8"/>
      <c r="J988" s="8"/>
      <c r="K988" s="8"/>
    </row>
    <row r="989">
      <c r="A989" s="8"/>
      <c r="B989" s="177"/>
      <c r="C989" s="8" t="str">
        <f>IF(ISBLANK(A989),"",VLOOKUP(A989,DOI_URL!$B$1:$C$74,2,FALSE()))</f>
        <v/>
      </c>
      <c r="D989" s="8"/>
      <c r="E989" s="8"/>
      <c r="J989" s="8"/>
      <c r="K989" s="8"/>
    </row>
    <row r="990">
      <c r="A990" s="8"/>
      <c r="B990" s="177"/>
      <c r="C990" s="8" t="str">
        <f>IF(ISBLANK(A990),"",VLOOKUP(A990,DOI_URL!$B$1:$C$74,2,FALSE()))</f>
        <v/>
      </c>
      <c r="D990" s="8"/>
      <c r="E990" s="8"/>
      <c r="J990" s="8"/>
      <c r="K990" s="8"/>
    </row>
    <row r="991">
      <c r="A991" s="8"/>
      <c r="B991" s="177"/>
      <c r="C991" s="8" t="str">
        <f>IF(ISBLANK(A991),"",VLOOKUP(A991,DOI_URL!$B$1:$C$74,2,FALSE()))</f>
        <v/>
      </c>
      <c r="D991" s="8"/>
      <c r="E991" s="8"/>
      <c r="J991" s="8"/>
      <c r="K991" s="8"/>
    </row>
    <row r="992">
      <c r="A992" s="8"/>
      <c r="B992" s="177"/>
      <c r="C992" s="8" t="str">
        <f>IF(ISBLANK(A992),"",VLOOKUP(A992,DOI_URL!$B$1:$C$74,2,FALSE()))</f>
        <v/>
      </c>
      <c r="D992" s="8"/>
      <c r="E992" s="8"/>
      <c r="J992" s="8"/>
      <c r="K992" s="8"/>
    </row>
    <row r="993">
      <c r="A993" s="8"/>
      <c r="B993" s="177"/>
      <c r="C993" s="8" t="str">
        <f>IF(ISBLANK(A993),"",VLOOKUP(A993,DOI_URL!$B$1:$C$74,2,FALSE()))</f>
        <v/>
      </c>
      <c r="D993" s="8"/>
      <c r="E993" s="8"/>
      <c r="J993" s="8"/>
      <c r="K993" s="8"/>
    </row>
    <row r="994">
      <c r="A994" s="8"/>
      <c r="B994" s="177"/>
      <c r="C994" s="8" t="str">
        <f>IF(ISBLANK(A994),"",VLOOKUP(A994,DOI_URL!$B$1:$C$74,2,FALSE()))</f>
        <v/>
      </c>
      <c r="D994" s="8"/>
      <c r="E994" s="8"/>
      <c r="J994" s="8"/>
      <c r="K994" s="8"/>
    </row>
    <row r="995">
      <c r="A995" s="8"/>
      <c r="B995" s="177"/>
      <c r="C995" s="8" t="str">
        <f>IF(ISBLANK(A995),"",VLOOKUP(A995,DOI_URL!$B$1:$C$74,2,FALSE()))</f>
        <v/>
      </c>
      <c r="D995" s="8"/>
      <c r="E995" s="8"/>
      <c r="J995" s="8"/>
      <c r="K995" s="8"/>
    </row>
    <row r="996">
      <c r="A996" s="8"/>
      <c r="B996" s="177"/>
      <c r="C996" s="8" t="str">
        <f>IF(ISBLANK(A996),"",VLOOKUP(A996,DOI_URL!$B$1:$C$74,2,FALSE()))</f>
        <v/>
      </c>
      <c r="D996" s="8"/>
      <c r="E996" s="8"/>
      <c r="J996" s="8"/>
      <c r="K996" s="8"/>
    </row>
    <row r="997">
      <c r="A997" s="8"/>
      <c r="B997" s="177"/>
      <c r="C997" s="8" t="str">
        <f>IF(ISBLANK(A997),"",VLOOKUP(A997,DOI_URL!$B$1:$C$74,2,FALSE()))</f>
        <v/>
      </c>
      <c r="D997" s="8"/>
      <c r="E997" s="8"/>
      <c r="J997" s="8"/>
      <c r="K997" s="8"/>
    </row>
    <row r="998">
      <c r="A998" s="8"/>
      <c r="B998" s="177"/>
      <c r="C998" s="8" t="str">
        <f>IF(ISBLANK(A998),"",VLOOKUP(A998,DOI_URL!$B$1:$C$74,2,FALSE()))</f>
        <v/>
      </c>
      <c r="D998" s="8"/>
      <c r="E998" s="8"/>
      <c r="J998" s="8"/>
      <c r="K998" s="8"/>
    </row>
    <row r="999">
      <c r="A999" s="8"/>
      <c r="B999" s="177"/>
      <c r="C999" s="8" t="str">
        <f>IF(ISBLANK(A999),"",VLOOKUP(A999,DOI_URL!$B$1:$C$74,2,FALSE()))</f>
        <v/>
      </c>
      <c r="D999" s="8"/>
      <c r="E999" s="8"/>
      <c r="J999" s="8"/>
      <c r="K999" s="8"/>
    </row>
    <row r="1000">
      <c r="A1000" s="8"/>
      <c r="B1000" s="177"/>
      <c r="C1000" s="8" t="str">
        <f>IF(ISBLANK(A1000),"",VLOOKUP(A1000,DOI_URL!$B$1:$C$74,2,FALSE()))</f>
        <v/>
      </c>
      <c r="D1000" s="8"/>
      <c r="E1000" s="8"/>
      <c r="J1000" s="8"/>
      <c r="K1000" s="8"/>
    </row>
    <row r="1001">
      <c r="A1001" s="8"/>
      <c r="B1001" s="177"/>
      <c r="D1001" s="8"/>
      <c r="E1001" s="8"/>
      <c r="J1001" s="8"/>
      <c r="K1001" s="8"/>
    </row>
    <row r="1002">
      <c r="A1002" s="8"/>
      <c r="B1002" s="177"/>
      <c r="D1002" s="8"/>
      <c r="E1002" s="8"/>
      <c r="J1002" s="8"/>
      <c r="K1002" s="8"/>
    </row>
    <row r="1003">
      <c r="A1003" s="8"/>
      <c r="B1003" s="177"/>
      <c r="D1003" s="8"/>
      <c r="E1003" s="8"/>
      <c r="J1003" s="8"/>
      <c r="K1003" s="8"/>
    </row>
    <row r="1004">
      <c r="A1004" s="8"/>
      <c r="B1004" s="177"/>
      <c r="D1004" s="8"/>
      <c r="E1004" s="8"/>
      <c r="J1004" s="8"/>
      <c r="K1004" s="8"/>
    </row>
    <row r="1005">
      <c r="A1005" s="8"/>
      <c r="B1005" s="177"/>
      <c r="D1005" s="8"/>
      <c r="E1005" s="8"/>
      <c r="J1005" s="8"/>
      <c r="K1005" s="8"/>
    </row>
    <row r="1006">
      <c r="A1006" s="8"/>
      <c r="B1006" s="177"/>
      <c r="D1006" s="8"/>
      <c r="E1006" s="8"/>
      <c r="J1006" s="8"/>
      <c r="K1006" s="8"/>
    </row>
  </sheetData>
  <dataValidations>
    <dataValidation type="list" allowBlank="1" showInputMessage="1" prompt="Haz clic e introduce un valor de intervalo 'General Taggs'!C2:C32" sqref="J2:J1006">
      <formula1>'General Tags'!$D$2:$D$32</formula1>
    </dataValidation>
    <dataValidation type="list" allowBlank="1" sqref="D2:D1006">
      <formula1>'General Tags'!$B$2:$B$3</formula1>
    </dataValidation>
    <dataValidation type="list" allowBlank="1" sqref="A2:A1006">
      <formula1>Assignment!$S$3:$S$54</formula1>
    </dataValidation>
    <dataValidation type="list" allowBlank="1" sqref="E2:E1006">
      <formula1>'General Tags'!$C$2:$C$3</formula1>
    </dataValidation>
    <dataValidation type="list" allowBlank="1" showInputMessage="1" showErrorMessage="1" prompt="Please, first add the SE task in the General tags page in column E" sqref="K2:K1006">
      <formula1>'General Tags'!$F$2:$F$295</formula1>
    </dataValidation>
  </dataValidation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0"/>
    <col customWidth="1" min="4" max="4" width="20.13"/>
    <col customWidth="1" min="5" max="5" width="21.63"/>
    <col customWidth="1" min="6" max="6" width="30.0"/>
    <col customWidth="1" min="7" max="7" width="38.25"/>
    <col customWidth="1" min="8" max="8" width="32.63"/>
    <col customWidth="1" min="9" max="9" width="19.63"/>
    <col customWidth="1" min="10" max="10" width="25.38"/>
  </cols>
  <sheetData>
    <row r="1" ht="35.25" customHeight="1">
      <c r="A1" s="163" t="s">
        <v>3329</v>
      </c>
      <c r="B1" s="163" t="s">
        <v>3330</v>
      </c>
      <c r="C1" s="163" t="s">
        <v>3307</v>
      </c>
      <c r="D1" s="163" t="s">
        <v>3331</v>
      </c>
      <c r="E1" s="163" t="s">
        <v>2</v>
      </c>
      <c r="F1" s="164" t="s">
        <v>3</v>
      </c>
      <c r="G1" s="165" t="s">
        <v>4</v>
      </c>
      <c r="H1" s="166" t="s">
        <v>5</v>
      </c>
      <c r="I1" s="164" t="s">
        <v>6</v>
      </c>
      <c r="J1" s="164" t="s">
        <v>7</v>
      </c>
      <c r="K1" s="22"/>
      <c r="L1" s="22"/>
      <c r="M1" s="22"/>
      <c r="N1" s="22"/>
      <c r="O1" s="22"/>
      <c r="P1" s="22"/>
      <c r="Q1" s="22"/>
      <c r="R1" s="22"/>
      <c r="S1" s="22"/>
      <c r="T1" s="22"/>
      <c r="U1" s="22"/>
      <c r="V1" s="22"/>
      <c r="W1" s="22"/>
      <c r="X1" s="22"/>
      <c r="Y1" s="22"/>
      <c r="Z1" s="22"/>
      <c r="AA1" s="22"/>
      <c r="AB1" s="22"/>
      <c r="AC1" s="22"/>
      <c r="AD1" s="22"/>
      <c r="AE1" s="22"/>
    </row>
    <row r="2">
      <c r="A2" s="17" t="s">
        <v>1394</v>
      </c>
      <c r="B2" s="167" t="str">
        <f>IF(ISBLANK(A2),"",VLOOKUP(A2,DOI_URL!$B$1:$C$74,2,FALSE()))</f>
        <v>https://drive.google.com/file/d/1sB-xonJFCdKKVFj0c0ZujuSW-Fzmkeo3/view?usp=sharing</v>
      </c>
      <c r="C2" s="17" t="s">
        <v>3311</v>
      </c>
      <c r="D2" s="22"/>
      <c r="E2" s="17" t="s">
        <v>3613</v>
      </c>
      <c r="F2" s="17" t="s">
        <v>1401</v>
      </c>
      <c r="G2" s="17" t="s">
        <v>2932</v>
      </c>
      <c r="H2" s="17" t="s">
        <v>1417</v>
      </c>
      <c r="I2" s="17" t="s">
        <v>54</v>
      </c>
      <c r="J2" s="17" t="s">
        <v>2933</v>
      </c>
      <c r="K2" s="22"/>
      <c r="L2" s="22"/>
      <c r="M2" s="22"/>
      <c r="N2" s="22"/>
      <c r="O2" s="22"/>
      <c r="P2" s="22"/>
      <c r="Q2" s="22"/>
      <c r="R2" s="22"/>
      <c r="S2" s="22"/>
      <c r="T2" s="22"/>
      <c r="U2" s="22"/>
      <c r="V2" s="22"/>
      <c r="W2" s="22"/>
      <c r="X2" s="22"/>
      <c r="Y2" s="22"/>
      <c r="Z2" s="22"/>
      <c r="AA2" s="22"/>
      <c r="AB2" s="22"/>
      <c r="AC2" s="22"/>
      <c r="AD2" s="22"/>
      <c r="AE2" s="22"/>
    </row>
    <row r="3">
      <c r="A3" s="17" t="s">
        <v>1394</v>
      </c>
      <c r="B3" s="167" t="str">
        <f>IF(ISBLANK(A3),"",VLOOKUP(A3,DOI_URL!$B$1:$C$74,2,FALSE()))</f>
        <v>https://drive.google.com/file/d/1sB-xonJFCdKKVFj0c0ZujuSW-Fzmkeo3/view?usp=sharing</v>
      </c>
      <c r="C3" s="17" t="s">
        <v>3311</v>
      </c>
      <c r="D3" s="22"/>
      <c r="E3" s="17" t="s">
        <v>3614</v>
      </c>
      <c r="F3" s="17" t="s">
        <v>1401</v>
      </c>
      <c r="G3" s="17" t="s">
        <v>2934</v>
      </c>
      <c r="H3" s="17" t="s">
        <v>2935</v>
      </c>
      <c r="I3" s="17" t="s">
        <v>2388</v>
      </c>
      <c r="J3" s="17" t="s">
        <v>1399</v>
      </c>
      <c r="K3" s="22"/>
      <c r="L3" s="22"/>
      <c r="M3" s="22"/>
      <c r="N3" s="22"/>
      <c r="O3" s="22"/>
      <c r="P3" s="22"/>
      <c r="Q3" s="22"/>
      <c r="R3" s="22"/>
      <c r="S3" s="22"/>
      <c r="T3" s="22"/>
      <c r="U3" s="22"/>
      <c r="V3" s="22"/>
      <c r="W3" s="22"/>
      <c r="X3" s="22"/>
      <c r="Y3" s="22"/>
      <c r="Z3" s="22"/>
      <c r="AA3" s="22"/>
      <c r="AB3" s="22"/>
      <c r="AC3" s="22"/>
      <c r="AD3" s="22"/>
      <c r="AE3" s="22"/>
    </row>
    <row r="4">
      <c r="A4" s="17" t="s">
        <v>1394</v>
      </c>
      <c r="B4" s="167" t="str">
        <f>IF(ISBLANK(A4),"",VLOOKUP(A4,DOI_URL!$B$1:$C$74,2,FALSE()))</f>
        <v>https://drive.google.com/file/d/1sB-xonJFCdKKVFj0c0ZujuSW-Fzmkeo3/view?usp=sharing</v>
      </c>
      <c r="C4" s="17" t="s">
        <v>3311</v>
      </c>
      <c r="D4" s="22"/>
      <c r="E4" s="17" t="s">
        <v>3614</v>
      </c>
      <c r="F4" s="17" t="s">
        <v>1401</v>
      </c>
      <c r="G4" s="17" t="s">
        <v>1402</v>
      </c>
      <c r="H4" s="17" t="s">
        <v>2936</v>
      </c>
      <c r="I4" s="17" t="s">
        <v>39</v>
      </c>
      <c r="J4" s="17" t="s">
        <v>1399</v>
      </c>
      <c r="K4" s="22"/>
      <c r="L4" s="22"/>
      <c r="M4" s="22"/>
      <c r="N4" s="22"/>
      <c r="O4" s="22"/>
      <c r="P4" s="22"/>
      <c r="Q4" s="22"/>
      <c r="R4" s="22"/>
      <c r="S4" s="22"/>
      <c r="T4" s="22"/>
      <c r="U4" s="22"/>
      <c r="V4" s="22"/>
      <c r="W4" s="22"/>
      <c r="X4" s="22"/>
      <c r="Y4" s="22"/>
      <c r="Z4" s="22"/>
      <c r="AA4" s="22"/>
      <c r="AB4" s="22"/>
      <c r="AC4" s="22"/>
      <c r="AD4" s="22"/>
      <c r="AE4" s="22"/>
    </row>
    <row r="5">
      <c r="A5" s="17" t="s">
        <v>1394</v>
      </c>
      <c r="B5" s="167" t="str">
        <f>IF(ISBLANK(A5),"",VLOOKUP(A5,DOI_URL!$B$1:$C$74,2,FALSE()))</f>
        <v>https://drive.google.com/file/d/1sB-xonJFCdKKVFj0c0ZujuSW-Fzmkeo3/view?usp=sharing</v>
      </c>
      <c r="C5" s="17" t="s">
        <v>3311</v>
      </c>
      <c r="D5" s="22"/>
      <c r="E5" s="17" t="s">
        <v>3615</v>
      </c>
      <c r="F5" s="17" t="s">
        <v>1401</v>
      </c>
      <c r="G5" s="17" t="s">
        <v>2938</v>
      </c>
      <c r="H5" s="17" t="s">
        <v>2939</v>
      </c>
      <c r="I5" s="17" t="s">
        <v>2388</v>
      </c>
      <c r="J5" s="17" t="s">
        <v>1399</v>
      </c>
      <c r="K5" s="22"/>
      <c r="L5" s="22"/>
      <c r="M5" s="22"/>
      <c r="N5" s="22"/>
      <c r="O5" s="22"/>
      <c r="P5" s="22"/>
      <c r="Q5" s="22"/>
      <c r="R5" s="22"/>
      <c r="S5" s="22"/>
      <c r="T5" s="22"/>
      <c r="U5" s="22"/>
      <c r="V5" s="22"/>
      <c r="W5" s="22"/>
      <c r="X5" s="22"/>
      <c r="Y5" s="22"/>
      <c r="Z5" s="22"/>
      <c r="AA5" s="22"/>
      <c r="AB5" s="22"/>
      <c r="AC5" s="22"/>
      <c r="AD5" s="22"/>
      <c r="AE5" s="22"/>
    </row>
    <row r="6">
      <c r="A6" s="17" t="s">
        <v>1394</v>
      </c>
      <c r="B6" s="167" t="str">
        <f>IF(ISBLANK(A6),"",VLOOKUP(A6,DOI_URL!$B$1:$C$74,2,FALSE()))</f>
        <v>https://drive.google.com/file/d/1sB-xonJFCdKKVFj0c0ZujuSW-Fzmkeo3/view?usp=sharing</v>
      </c>
      <c r="C6" s="17" t="s">
        <v>3311</v>
      </c>
      <c r="D6" s="22"/>
      <c r="E6" s="17" t="s">
        <v>3616</v>
      </c>
      <c r="F6" s="17" t="s">
        <v>1401</v>
      </c>
      <c r="G6" s="17" t="s">
        <v>1416</v>
      </c>
      <c r="H6" s="17" t="s">
        <v>1417</v>
      </c>
      <c r="I6" s="17" t="s">
        <v>54</v>
      </c>
      <c r="J6" s="17" t="s">
        <v>2933</v>
      </c>
      <c r="K6" s="22"/>
      <c r="L6" s="22"/>
      <c r="M6" s="22"/>
      <c r="N6" s="22"/>
      <c r="O6" s="22"/>
      <c r="P6" s="22"/>
      <c r="Q6" s="22"/>
      <c r="R6" s="22"/>
      <c r="S6" s="22"/>
      <c r="T6" s="22"/>
      <c r="U6" s="22"/>
      <c r="V6" s="22"/>
      <c r="W6" s="22"/>
      <c r="X6" s="22"/>
      <c r="Y6" s="22"/>
      <c r="Z6" s="22"/>
      <c r="AA6" s="22"/>
      <c r="AB6" s="22"/>
      <c r="AC6" s="22"/>
      <c r="AD6" s="22"/>
      <c r="AE6" s="22"/>
    </row>
    <row r="7">
      <c r="A7" s="17" t="s">
        <v>1394</v>
      </c>
      <c r="B7" s="167" t="str">
        <f>IF(ISBLANK(A7),"",VLOOKUP(A7,DOI_URL!$B$1:$C$74,2,FALSE()))</f>
        <v>https://drive.google.com/file/d/1sB-xonJFCdKKVFj0c0ZujuSW-Fzmkeo3/view?usp=sharing</v>
      </c>
      <c r="C7" s="17" t="s">
        <v>3311</v>
      </c>
      <c r="D7" s="22"/>
      <c r="E7" s="17" t="s">
        <v>3616</v>
      </c>
      <c r="F7" s="17" t="s">
        <v>1401</v>
      </c>
      <c r="G7" s="17" t="s">
        <v>2940</v>
      </c>
      <c r="H7" s="17" t="s">
        <v>1417</v>
      </c>
      <c r="I7" s="17" t="s">
        <v>54</v>
      </c>
      <c r="J7" s="17" t="s">
        <v>2933</v>
      </c>
      <c r="K7" s="22"/>
      <c r="L7" s="22"/>
      <c r="M7" s="22"/>
      <c r="N7" s="22"/>
      <c r="O7" s="22"/>
      <c r="P7" s="22"/>
      <c r="Q7" s="22"/>
      <c r="R7" s="22"/>
      <c r="S7" s="22"/>
      <c r="T7" s="22"/>
      <c r="U7" s="22"/>
      <c r="V7" s="22"/>
      <c r="W7" s="22"/>
      <c r="X7" s="22"/>
      <c r="Y7" s="22"/>
      <c r="Z7" s="22"/>
      <c r="AA7" s="22"/>
      <c r="AB7" s="22"/>
      <c r="AC7" s="22"/>
      <c r="AD7" s="22"/>
      <c r="AE7" s="22"/>
    </row>
    <row r="8">
      <c r="A8" s="17" t="s">
        <v>1712</v>
      </c>
      <c r="B8" s="167" t="str">
        <f>IF(ISBLANK(A8),"",VLOOKUP(A8,DOI_URL!$B$1:$C$74,2,FALSE()))</f>
        <v>https://drive.google.com/file/d/1GXdwug7yiEjLsmI1ZWJNBFjltE8WftUv/view?usp=sharing</v>
      </c>
      <c r="C8" s="17" t="s">
        <v>3311</v>
      </c>
      <c r="D8" s="22"/>
      <c r="E8" s="17" t="s">
        <v>3617</v>
      </c>
      <c r="F8" s="22"/>
      <c r="G8" s="17" t="s">
        <v>1725</v>
      </c>
      <c r="H8" s="17" t="s">
        <v>1726</v>
      </c>
      <c r="I8" s="17" t="s">
        <v>54</v>
      </c>
      <c r="J8" s="17" t="s">
        <v>3064</v>
      </c>
      <c r="K8" s="22"/>
      <c r="L8" s="22"/>
      <c r="M8" s="22"/>
      <c r="N8" s="22"/>
      <c r="O8" s="22"/>
      <c r="P8" s="22"/>
      <c r="Q8" s="22"/>
      <c r="R8" s="22"/>
      <c r="S8" s="22"/>
      <c r="T8" s="22"/>
      <c r="U8" s="22"/>
      <c r="V8" s="22"/>
      <c r="W8" s="22"/>
      <c r="X8" s="22"/>
      <c r="Y8" s="22"/>
      <c r="Z8" s="22"/>
      <c r="AA8" s="22"/>
      <c r="AB8" s="22"/>
      <c r="AC8" s="22"/>
      <c r="AD8" s="22"/>
      <c r="AE8" s="22"/>
    </row>
    <row r="9">
      <c r="A9" s="17" t="s">
        <v>1712</v>
      </c>
      <c r="B9" s="167" t="str">
        <f>IF(ISBLANK(A9),"",VLOOKUP(A9,DOI_URL!$B$1:$C$74,2,FALSE()))</f>
        <v>https://drive.google.com/file/d/1GXdwug7yiEjLsmI1ZWJNBFjltE8WftUv/view?usp=sharing</v>
      </c>
      <c r="C9" s="17" t="s">
        <v>3311</v>
      </c>
      <c r="D9" s="22"/>
      <c r="E9" s="17" t="s">
        <v>3618</v>
      </c>
      <c r="F9" s="22"/>
      <c r="G9" s="17" t="s">
        <v>1728</v>
      </c>
      <c r="H9" s="17" t="s">
        <v>585</v>
      </c>
      <c r="I9" s="17" t="s">
        <v>54</v>
      </c>
      <c r="J9" s="17" t="s">
        <v>3064</v>
      </c>
      <c r="K9" s="22"/>
      <c r="L9" s="22"/>
      <c r="M9" s="22"/>
      <c r="N9" s="22"/>
      <c r="O9" s="22"/>
      <c r="P9" s="22"/>
      <c r="Q9" s="22"/>
      <c r="R9" s="22"/>
      <c r="S9" s="22"/>
      <c r="T9" s="22"/>
      <c r="U9" s="22"/>
      <c r="V9" s="22"/>
      <c r="W9" s="22"/>
      <c r="X9" s="22"/>
      <c r="Y9" s="22"/>
      <c r="Z9" s="22"/>
      <c r="AA9" s="22"/>
      <c r="AB9" s="22"/>
      <c r="AC9" s="22"/>
      <c r="AD9" s="22"/>
      <c r="AE9" s="22"/>
    </row>
    <row r="10">
      <c r="A10" s="17" t="s">
        <v>1712</v>
      </c>
      <c r="B10" s="167" t="str">
        <f>IF(ISBLANK(A10),"",VLOOKUP(A10,DOI_URL!$B$1:$C$74,2,FALSE()))</f>
        <v>https://drive.google.com/file/d/1GXdwug7yiEjLsmI1ZWJNBFjltE8WftUv/view?usp=sharing</v>
      </c>
      <c r="C10" s="17" t="s">
        <v>3311</v>
      </c>
      <c r="D10" s="22"/>
      <c r="E10" s="17" t="s">
        <v>3618</v>
      </c>
      <c r="F10" s="22"/>
      <c r="G10" s="17" t="s">
        <v>1729</v>
      </c>
      <c r="H10" s="17" t="s">
        <v>1730</v>
      </c>
      <c r="I10" s="17" t="s">
        <v>54</v>
      </c>
      <c r="J10" s="17" t="s">
        <v>3064</v>
      </c>
      <c r="K10" s="22"/>
      <c r="L10" s="22"/>
      <c r="M10" s="22"/>
      <c r="N10" s="22"/>
      <c r="O10" s="22"/>
      <c r="P10" s="22"/>
      <c r="Q10" s="22"/>
      <c r="R10" s="22"/>
      <c r="S10" s="22"/>
      <c r="T10" s="22"/>
      <c r="U10" s="22"/>
      <c r="V10" s="22"/>
      <c r="W10" s="22"/>
      <c r="X10" s="22"/>
      <c r="Y10" s="22"/>
      <c r="Z10" s="22"/>
      <c r="AA10" s="22"/>
      <c r="AB10" s="22"/>
      <c r="AC10" s="22"/>
      <c r="AD10" s="22"/>
      <c r="AE10" s="22"/>
    </row>
    <row r="11">
      <c r="A11" s="17" t="s">
        <v>1712</v>
      </c>
      <c r="B11" s="167" t="str">
        <f>IF(ISBLANK(A11),"",VLOOKUP(A11,DOI_URL!$B$1:$C$74,2,FALSE()))</f>
        <v>https://drive.google.com/file/d/1GXdwug7yiEjLsmI1ZWJNBFjltE8WftUv/view?usp=sharing</v>
      </c>
      <c r="C11" s="17" t="s">
        <v>3311</v>
      </c>
      <c r="D11" s="22"/>
      <c r="E11" s="17" t="s">
        <v>3618</v>
      </c>
      <c r="F11" s="22"/>
      <c r="G11" s="17" t="s">
        <v>1731</v>
      </c>
      <c r="H11" s="17" t="s">
        <v>585</v>
      </c>
      <c r="I11" s="17" t="s">
        <v>54</v>
      </c>
      <c r="J11" s="17" t="s">
        <v>3064</v>
      </c>
      <c r="K11" s="22"/>
      <c r="L11" s="22"/>
      <c r="M11" s="22"/>
      <c r="N11" s="22"/>
      <c r="O11" s="22"/>
      <c r="P11" s="22"/>
      <c r="Q11" s="22"/>
      <c r="R11" s="22"/>
      <c r="S11" s="22"/>
      <c r="T11" s="22"/>
      <c r="U11" s="22"/>
      <c r="V11" s="22"/>
      <c r="W11" s="22"/>
      <c r="X11" s="22"/>
      <c r="Y11" s="22"/>
      <c r="Z11" s="22"/>
      <c r="AA11" s="22"/>
      <c r="AB11" s="22"/>
      <c r="AC11" s="22"/>
      <c r="AD11" s="22"/>
      <c r="AE11" s="22"/>
    </row>
    <row r="12">
      <c r="A12" s="17" t="s">
        <v>1712</v>
      </c>
      <c r="B12" s="167" t="str">
        <f>IF(ISBLANK(A12),"",VLOOKUP(A12,DOI_URL!$B$1:$C$74,2,FALSE()))</f>
        <v>https://drive.google.com/file/d/1GXdwug7yiEjLsmI1ZWJNBFjltE8WftUv/view?usp=sharing</v>
      </c>
      <c r="C12" s="17" t="s">
        <v>3311</v>
      </c>
      <c r="D12" s="22"/>
      <c r="E12" s="17" t="s">
        <v>3618</v>
      </c>
      <c r="F12" s="22"/>
      <c r="G12" s="17" t="s">
        <v>1732</v>
      </c>
      <c r="H12" s="17" t="s">
        <v>1733</v>
      </c>
      <c r="I12" s="17" t="s">
        <v>44</v>
      </c>
      <c r="J12" s="17" t="s">
        <v>3064</v>
      </c>
      <c r="K12" s="22"/>
      <c r="L12" s="22"/>
      <c r="M12" s="22"/>
      <c r="N12" s="22"/>
      <c r="O12" s="22"/>
      <c r="P12" s="22"/>
      <c r="Q12" s="22"/>
      <c r="R12" s="22"/>
      <c r="S12" s="22"/>
      <c r="T12" s="22"/>
      <c r="U12" s="22"/>
      <c r="V12" s="22"/>
      <c r="W12" s="22"/>
      <c r="X12" s="22"/>
      <c r="Y12" s="22"/>
      <c r="Z12" s="22"/>
      <c r="AA12" s="22"/>
      <c r="AB12" s="22"/>
      <c r="AC12" s="22"/>
      <c r="AD12" s="22"/>
      <c r="AE12" s="22"/>
    </row>
    <row r="13">
      <c r="A13" s="17" t="s">
        <v>1712</v>
      </c>
      <c r="B13" s="167" t="str">
        <f>IF(ISBLANK(A13),"",VLOOKUP(A13,DOI_URL!$B$1:$C$74,2,FALSE()))</f>
        <v>https://drive.google.com/file/d/1GXdwug7yiEjLsmI1ZWJNBFjltE8WftUv/view?usp=sharing</v>
      </c>
      <c r="C13" s="17" t="s">
        <v>3311</v>
      </c>
      <c r="D13" s="22"/>
      <c r="E13" s="17" t="s">
        <v>3619</v>
      </c>
      <c r="F13" s="22"/>
      <c r="G13" s="17" t="s">
        <v>1735</v>
      </c>
      <c r="H13" s="22"/>
      <c r="I13" s="17" t="s">
        <v>39</v>
      </c>
      <c r="J13" s="17" t="s">
        <v>3064</v>
      </c>
      <c r="K13" s="22"/>
      <c r="L13" s="22"/>
      <c r="M13" s="22"/>
      <c r="N13" s="22"/>
      <c r="O13" s="22"/>
      <c r="P13" s="22"/>
      <c r="Q13" s="22"/>
      <c r="R13" s="22"/>
      <c r="S13" s="22"/>
      <c r="T13" s="22"/>
      <c r="U13" s="22"/>
      <c r="V13" s="22"/>
      <c r="W13" s="22"/>
      <c r="X13" s="22"/>
      <c r="Y13" s="22"/>
      <c r="Z13" s="22"/>
      <c r="AA13" s="22"/>
      <c r="AB13" s="22"/>
      <c r="AC13" s="22"/>
      <c r="AD13" s="22"/>
      <c r="AE13" s="22"/>
    </row>
    <row r="14">
      <c r="A14" s="17" t="s">
        <v>1712</v>
      </c>
      <c r="B14" s="167" t="str">
        <f>IF(ISBLANK(A14),"",VLOOKUP(A14,DOI_URL!$B$1:$C$74,2,FALSE()))</f>
        <v>https://drive.google.com/file/d/1GXdwug7yiEjLsmI1ZWJNBFjltE8WftUv/view?usp=sharing</v>
      </c>
      <c r="C14" s="17" t="s">
        <v>3311</v>
      </c>
      <c r="D14" s="22"/>
      <c r="E14" s="17" t="s">
        <v>3619</v>
      </c>
      <c r="F14" s="22"/>
      <c r="G14" s="17" t="s">
        <v>3065</v>
      </c>
      <c r="H14" s="17" t="s">
        <v>1737</v>
      </c>
      <c r="I14" s="17" t="s">
        <v>39</v>
      </c>
      <c r="J14" s="17" t="s">
        <v>3064</v>
      </c>
      <c r="K14" s="22"/>
      <c r="L14" s="22"/>
      <c r="M14" s="22"/>
      <c r="N14" s="22"/>
      <c r="O14" s="22"/>
      <c r="P14" s="22"/>
      <c r="Q14" s="22"/>
      <c r="R14" s="22"/>
      <c r="S14" s="22"/>
      <c r="T14" s="22"/>
      <c r="U14" s="22"/>
      <c r="V14" s="22"/>
      <c r="W14" s="22"/>
      <c r="X14" s="22"/>
      <c r="Y14" s="22"/>
      <c r="Z14" s="22"/>
      <c r="AA14" s="22"/>
      <c r="AB14" s="22"/>
      <c r="AC14" s="22"/>
      <c r="AD14" s="22"/>
      <c r="AE14" s="22"/>
    </row>
    <row r="15">
      <c r="A15" s="17" t="s">
        <v>1798</v>
      </c>
      <c r="B15" s="167" t="str">
        <f>IF(ISBLANK(A15),"",VLOOKUP(A15,DOI_URL!$B$1:$C$74,2,FALSE()))</f>
        <v>https://drive.google.com/file/d/1bi7YXfNt0LBAT4_uMAqjJi7Uow1igA12/view?usp=sharing</v>
      </c>
      <c r="C15" s="17" t="s">
        <v>3311</v>
      </c>
      <c r="D15" s="22"/>
      <c r="E15" s="17" t="s">
        <v>3620</v>
      </c>
      <c r="F15" s="17" t="s">
        <v>1800</v>
      </c>
      <c r="G15" s="17" t="s">
        <v>1801</v>
      </c>
      <c r="H15" s="17" t="s">
        <v>1802</v>
      </c>
      <c r="I15" s="17" t="s">
        <v>91</v>
      </c>
      <c r="J15" s="17" t="s">
        <v>577</v>
      </c>
      <c r="K15" s="22"/>
      <c r="L15" s="22"/>
      <c r="M15" s="22"/>
      <c r="N15" s="22"/>
      <c r="O15" s="22"/>
      <c r="P15" s="22"/>
      <c r="Q15" s="22"/>
      <c r="R15" s="22"/>
      <c r="S15" s="22"/>
      <c r="T15" s="22"/>
      <c r="U15" s="22"/>
      <c r="V15" s="22"/>
      <c r="W15" s="22"/>
      <c r="X15" s="22"/>
      <c r="Y15" s="22"/>
      <c r="Z15" s="22"/>
      <c r="AA15" s="22"/>
      <c r="AB15" s="22"/>
      <c r="AC15" s="22"/>
      <c r="AD15" s="22"/>
      <c r="AE15" s="22"/>
    </row>
    <row r="16">
      <c r="A16" s="17" t="s">
        <v>1798</v>
      </c>
      <c r="B16" s="167" t="str">
        <f>IF(ISBLANK(A16),"",VLOOKUP(A16,DOI_URL!$B$1:$C$74,2,FALSE()))</f>
        <v>https://drive.google.com/file/d/1bi7YXfNt0LBAT4_uMAqjJi7Uow1igA12/view?usp=sharing</v>
      </c>
      <c r="C16" s="17" t="s">
        <v>3311</v>
      </c>
      <c r="D16" s="22"/>
      <c r="E16" s="17" t="s">
        <v>3621</v>
      </c>
      <c r="F16" s="17" t="s">
        <v>1801</v>
      </c>
      <c r="G16" s="17" t="s">
        <v>3090</v>
      </c>
      <c r="H16" s="17" t="s">
        <v>1806</v>
      </c>
      <c r="I16" s="17" t="s">
        <v>39</v>
      </c>
      <c r="J16" s="17" t="s">
        <v>577</v>
      </c>
      <c r="K16" s="22"/>
      <c r="L16" s="22"/>
      <c r="M16" s="22"/>
      <c r="N16" s="22"/>
      <c r="O16" s="22"/>
      <c r="P16" s="22"/>
      <c r="Q16" s="22"/>
      <c r="R16" s="22"/>
      <c r="S16" s="22"/>
      <c r="T16" s="22"/>
      <c r="U16" s="22"/>
      <c r="V16" s="22"/>
      <c r="W16" s="22"/>
      <c r="X16" s="22"/>
      <c r="Y16" s="22"/>
      <c r="Z16" s="22"/>
      <c r="AA16" s="22"/>
      <c r="AB16" s="22"/>
      <c r="AC16" s="22"/>
      <c r="AD16" s="22"/>
      <c r="AE16" s="22"/>
    </row>
    <row r="17">
      <c r="A17" s="17" t="s">
        <v>1798</v>
      </c>
      <c r="B17" s="167" t="str">
        <f>IF(ISBLANK(A17),"",VLOOKUP(A17,DOI_URL!$B$1:$C$74,2,FALSE()))</f>
        <v>https://drive.google.com/file/d/1bi7YXfNt0LBAT4_uMAqjJi7Uow1igA12/view?usp=sharing</v>
      </c>
      <c r="C17" s="17" t="s">
        <v>3311</v>
      </c>
      <c r="D17" s="22"/>
      <c r="E17" s="17" t="s">
        <v>3621</v>
      </c>
      <c r="F17" s="17" t="s">
        <v>1801</v>
      </c>
      <c r="G17" s="17" t="s">
        <v>3091</v>
      </c>
      <c r="H17" s="17" t="s">
        <v>1806</v>
      </c>
      <c r="I17" s="17" t="s">
        <v>39</v>
      </c>
      <c r="J17" s="17" t="s">
        <v>577</v>
      </c>
      <c r="K17" s="22"/>
      <c r="L17" s="22"/>
      <c r="M17" s="22"/>
      <c r="N17" s="22"/>
      <c r="O17" s="22"/>
      <c r="P17" s="22"/>
      <c r="Q17" s="22"/>
      <c r="R17" s="22"/>
      <c r="S17" s="22"/>
      <c r="T17" s="22"/>
      <c r="U17" s="22"/>
      <c r="V17" s="22"/>
      <c r="W17" s="22"/>
      <c r="X17" s="22"/>
      <c r="Y17" s="22"/>
      <c r="Z17" s="22"/>
      <c r="AA17" s="22"/>
      <c r="AB17" s="22"/>
      <c r="AC17" s="22"/>
      <c r="AD17" s="22"/>
      <c r="AE17" s="22"/>
    </row>
    <row r="18">
      <c r="A18" s="17" t="s">
        <v>1798</v>
      </c>
      <c r="B18" s="167" t="str">
        <f>IF(ISBLANK(A18),"",VLOOKUP(A18,DOI_URL!$B$1:$C$74,2,FALSE()))</f>
        <v>https://drive.google.com/file/d/1bi7YXfNt0LBAT4_uMAqjJi7Uow1igA12/view?usp=sharing</v>
      </c>
      <c r="C18" s="17" t="s">
        <v>3311</v>
      </c>
      <c r="D18" s="22"/>
      <c r="E18" s="17" t="s">
        <v>3622</v>
      </c>
      <c r="F18" s="22"/>
      <c r="G18" s="17" t="s">
        <v>1812</v>
      </c>
      <c r="H18" s="17" t="s">
        <v>1813</v>
      </c>
      <c r="I18" s="17" t="s">
        <v>54</v>
      </c>
      <c r="J18" s="17" t="s">
        <v>577</v>
      </c>
      <c r="K18" s="22"/>
      <c r="L18" s="22"/>
      <c r="M18" s="22"/>
      <c r="N18" s="22"/>
      <c r="O18" s="22"/>
      <c r="P18" s="22"/>
      <c r="Q18" s="22"/>
      <c r="R18" s="22"/>
      <c r="S18" s="22"/>
      <c r="T18" s="22"/>
      <c r="U18" s="22"/>
      <c r="V18" s="22"/>
      <c r="W18" s="22"/>
      <c r="X18" s="22"/>
      <c r="Y18" s="22"/>
      <c r="Z18" s="22"/>
      <c r="AA18" s="22"/>
      <c r="AB18" s="22"/>
      <c r="AC18" s="22"/>
      <c r="AD18" s="22"/>
      <c r="AE18" s="22"/>
    </row>
    <row r="19">
      <c r="A19" s="17" t="s">
        <v>1798</v>
      </c>
      <c r="B19" s="167" t="str">
        <f>IF(ISBLANK(A19),"",VLOOKUP(A19,DOI_URL!$B$1:$C$74,2,FALSE()))</f>
        <v>https://drive.google.com/file/d/1bi7YXfNt0LBAT4_uMAqjJi7Uow1igA12/view?usp=sharing</v>
      </c>
      <c r="C19" s="17" t="s">
        <v>3311</v>
      </c>
      <c r="D19" s="22"/>
      <c r="E19" s="17" t="s">
        <v>3623</v>
      </c>
      <c r="F19" s="17" t="s">
        <v>1801</v>
      </c>
      <c r="G19" s="17" t="s">
        <v>1815</v>
      </c>
      <c r="H19" s="17" t="s">
        <v>1816</v>
      </c>
      <c r="I19" s="17" t="s">
        <v>44</v>
      </c>
      <c r="J19" s="17" t="s">
        <v>577</v>
      </c>
      <c r="K19" s="22"/>
      <c r="L19" s="22"/>
      <c r="M19" s="22"/>
      <c r="N19" s="22"/>
      <c r="O19" s="22"/>
      <c r="P19" s="22"/>
      <c r="Q19" s="22"/>
      <c r="R19" s="22"/>
      <c r="S19" s="22"/>
      <c r="T19" s="22"/>
      <c r="U19" s="22"/>
      <c r="V19" s="22"/>
      <c r="W19" s="22"/>
      <c r="X19" s="22"/>
      <c r="Y19" s="22"/>
      <c r="Z19" s="22"/>
      <c r="AA19" s="22"/>
      <c r="AB19" s="22"/>
      <c r="AC19" s="22"/>
      <c r="AD19" s="22"/>
      <c r="AE19" s="22"/>
    </row>
    <row r="20">
      <c r="A20" s="17" t="s">
        <v>1798</v>
      </c>
      <c r="B20" s="167" t="str">
        <f>IF(ISBLANK(A20),"",VLOOKUP(A20,DOI_URL!$B$1:$C$74,2,FALSE()))</f>
        <v>https://drive.google.com/file/d/1bi7YXfNt0LBAT4_uMAqjJi7Uow1igA12/view?usp=sharing</v>
      </c>
      <c r="C20" s="17" t="s">
        <v>3311</v>
      </c>
      <c r="D20" s="22"/>
      <c r="E20" s="17" t="s">
        <v>3624</v>
      </c>
      <c r="F20" s="17" t="s">
        <v>947</v>
      </c>
      <c r="G20" s="17" t="s">
        <v>934</v>
      </c>
      <c r="H20" s="17" t="s">
        <v>1385</v>
      </c>
      <c r="I20" s="17" t="s">
        <v>39</v>
      </c>
      <c r="J20" s="17" t="s">
        <v>577</v>
      </c>
      <c r="K20" s="22"/>
      <c r="L20" s="22"/>
      <c r="M20" s="22"/>
      <c r="N20" s="22"/>
      <c r="O20" s="22"/>
      <c r="P20" s="22"/>
      <c r="Q20" s="22"/>
      <c r="R20" s="22"/>
      <c r="S20" s="22"/>
      <c r="T20" s="22"/>
      <c r="U20" s="22"/>
      <c r="V20" s="22"/>
      <c r="W20" s="22"/>
      <c r="X20" s="22"/>
      <c r="Y20" s="22"/>
      <c r="Z20" s="22"/>
      <c r="AA20" s="22"/>
      <c r="AB20" s="22"/>
      <c r="AC20" s="22"/>
      <c r="AD20" s="22"/>
      <c r="AE20" s="22"/>
    </row>
    <row r="21">
      <c r="A21" s="17" t="s">
        <v>1798</v>
      </c>
      <c r="B21" s="167" t="str">
        <f>IF(ISBLANK(A21),"",VLOOKUP(A21,DOI_URL!$B$1:$C$74,2,FALSE()))</f>
        <v>https://drive.google.com/file/d/1bi7YXfNt0LBAT4_uMAqjJi7Uow1igA12/view?usp=sharing</v>
      </c>
      <c r="C21" s="17" t="s">
        <v>3311</v>
      </c>
      <c r="D21" s="22"/>
      <c r="E21" s="17" t="s">
        <v>3624</v>
      </c>
      <c r="F21" s="22"/>
      <c r="G21" s="17" t="s">
        <v>1821</v>
      </c>
      <c r="H21" s="17" t="s">
        <v>1385</v>
      </c>
      <c r="I21" s="17" t="s">
        <v>39</v>
      </c>
      <c r="J21" s="17" t="s">
        <v>577</v>
      </c>
      <c r="K21" s="22"/>
      <c r="L21" s="22"/>
      <c r="M21" s="22"/>
      <c r="N21" s="22"/>
      <c r="O21" s="22"/>
      <c r="P21" s="22"/>
      <c r="Q21" s="22"/>
      <c r="R21" s="22"/>
      <c r="S21" s="22"/>
      <c r="T21" s="22"/>
      <c r="U21" s="22"/>
      <c r="V21" s="22"/>
      <c r="W21" s="22"/>
      <c r="X21" s="22"/>
      <c r="Y21" s="22"/>
      <c r="Z21" s="22"/>
      <c r="AA21" s="22"/>
      <c r="AB21" s="22"/>
      <c r="AC21" s="22"/>
      <c r="AD21" s="22"/>
      <c r="AE21" s="22"/>
    </row>
    <row r="22">
      <c r="A22" s="17" t="s">
        <v>1671</v>
      </c>
      <c r="B22" s="167" t="str">
        <f>IF(ISBLANK(A22),"",VLOOKUP(A22,DOI_URL!$B$1:$C$74,2,FALSE()))</f>
        <v>https://drive.google.com/file/d/1AQi36SYW6AxZOJz3gtz73aEi1-EubdJM/view?usp=sharing</v>
      </c>
      <c r="C22" s="17" t="s">
        <v>3311</v>
      </c>
      <c r="D22" s="17" t="s">
        <v>3309</v>
      </c>
      <c r="E22" s="17" t="s">
        <v>3625</v>
      </c>
      <c r="F22" s="17" t="s">
        <v>3057</v>
      </c>
      <c r="G22" s="17" t="s">
        <v>3058</v>
      </c>
      <c r="H22" s="17" t="s">
        <v>3059</v>
      </c>
      <c r="I22" s="17" t="s">
        <v>54</v>
      </c>
      <c r="J22" s="17" t="s">
        <v>806</v>
      </c>
      <c r="K22" s="22"/>
      <c r="L22" s="22"/>
      <c r="M22" s="22"/>
      <c r="N22" s="22"/>
      <c r="O22" s="22"/>
      <c r="P22" s="22"/>
      <c r="Q22" s="22"/>
      <c r="R22" s="22"/>
      <c r="S22" s="22"/>
      <c r="T22" s="22"/>
      <c r="U22" s="22"/>
      <c r="V22" s="22"/>
      <c r="W22" s="22"/>
      <c r="X22" s="22"/>
      <c r="Y22" s="22"/>
      <c r="Z22" s="22"/>
      <c r="AA22" s="22"/>
      <c r="AB22" s="22"/>
      <c r="AC22" s="22"/>
      <c r="AD22" s="22"/>
      <c r="AE22" s="22"/>
    </row>
    <row r="23">
      <c r="A23" s="17" t="s">
        <v>1671</v>
      </c>
      <c r="B23" s="167" t="str">
        <f>IF(ISBLANK(A23),"",VLOOKUP(A23,DOI_URL!$B$1:$C$74,2,FALSE()))</f>
        <v>https://drive.google.com/file/d/1AQi36SYW6AxZOJz3gtz73aEi1-EubdJM/view?usp=sharing</v>
      </c>
      <c r="C23" s="17" t="s">
        <v>3311</v>
      </c>
      <c r="D23" s="17" t="s">
        <v>3309</v>
      </c>
      <c r="E23" s="17" t="s">
        <v>3625</v>
      </c>
      <c r="F23" s="17" t="s">
        <v>3057</v>
      </c>
      <c r="G23" s="17" t="s">
        <v>3060</v>
      </c>
      <c r="H23" s="17" t="s">
        <v>3059</v>
      </c>
      <c r="I23" s="17" t="s">
        <v>54</v>
      </c>
      <c r="J23" s="17" t="s">
        <v>806</v>
      </c>
      <c r="K23" s="22"/>
      <c r="L23" s="22"/>
      <c r="M23" s="22"/>
      <c r="N23" s="22"/>
      <c r="O23" s="22"/>
      <c r="P23" s="22"/>
      <c r="Q23" s="22"/>
      <c r="R23" s="22"/>
      <c r="S23" s="22"/>
      <c r="T23" s="22"/>
      <c r="U23" s="22"/>
      <c r="V23" s="22"/>
      <c r="W23" s="22"/>
      <c r="X23" s="22"/>
      <c r="Y23" s="22"/>
      <c r="Z23" s="22"/>
      <c r="AA23" s="22"/>
      <c r="AB23" s="22"/>
      <c r="AC23" s="22"/>
      <c r="AD23" s="22"/>
      <c r="AE23" s="22"/>
    </row>
    <row r="24">
      <c r="A24" s="17" t="s">
        <v>1671</v>
      </c>
      <c r="B24" s="167" t="str">
        <f>IF(ISBLANK(A24),"",VLOOKUP(A24,DOI_URL!$B$1:$C$74,2,FALSE()))</f>
        <v>https://drive.google.com/file/d/1AQi36SYW6AxZOJz3gtz73aEi1-EubdJM/view?usp=sharing</v>
      </c>
      <c r="C24" s="17" t="s">
        <v>3311</v>
      </c>
      <c r="D24" s="22"/>
      <c r="E24" s="17" t="s">
        <v>3626</v>
      </c>
      <c r="F24" s="22"/>
      <c r="G24" s="17" t="s">
        <v>584</v>
      </c>
      <c r="H24" s="17" t="s">
        <v>585</v>
      </c>
      <c r="I24" s="17" t="s">
        <v>54</v>
      </c>
      <c r="J24" s="17" t="s">
        <v>806</v>
      </c>
      <c r="K24" s="22"/>
      <c r="L24" s="22"/>
      <c r="M24" s="22"/>
      <c r="N24" s="22"/>
      <c r="O24" s="22"/>
      <c r="P24" s="22"/>
      <c r="Q24" s="22"/>
      <c r="R24" s="22"/>
      <c r="S24" s="22"/>
      <c r="T24" s="22"/>
      <c r="U24" s="22"/>
      <c r="V24" s="22"/>
      <c r="W24" s="22"/>
      <c r="X24" s="22"/>
      <c r="Y24" s="22"/>
      <c r="Z24" s="22"/>
      <c r="AA24" s="22"/>
      <c r="AB24" s="22"/>
      <c r="AC24" s="22"/>
      <c r="AD24" s="22"/>
      <c r="AE24" s="22"/>
    </row>
    <row r="25">
      <c r="A25" s="17" t="s">
        <v>1671</v>
      </c>
      <c r="B25" s="167" t="str">
        <f>IF(ISBLANK(A25),"",VLOOKUP(A25,DOI_URL!$B$1:$C$74,2,FALSE()))</f>
        <v>https://drive.google.com/file/d/1AQi36SYW6AxZOJz3gtz73aEi1-EubdJM/view?usp=sharing</v>
      </c>
      <c r="C25" s="17" t="s">
        <v>3311</v>
      </c>
      <c r="D25" s="22"/>
      <c r="E25" s="17" t="s">
        <v>3627</v>
      </c>
      <c r="F25" s="22"/>
      <c r="G25" s="17" t="s">
        <v>2392</v>
      </c>
      <c r="H25" s="17" t="s">
        <v>364</v>
      </c>
      <c r="I25" s="17" t="s">
        <v>39</v>
      </c>
      <c r="J25" s="17" t="s">
        <v>806</v>
      </c>
      <c r="K25" s="22"/>
      <c r="L25" s="22"/>
      <c r="M25" s="22"/>
      <c r="N25" s="22"/>
      <c r="O25" s="22"/>
      <c r="P25" s="22"/>
      <c r="Q25" s="22"/>
      <c r="R25" s="22"/>
      <c r="S25" s="22"/>
      <c r="T25" s="22"/>
      <c r="U25" s="22"/>
      <c r="V25" s="22"/>
      <c r="W25" s="22"/>
      <c r="X25" s="22"/>
      <c r="Y25" s="22"/>
      <c r="Z25" s="22"/>
      <c r="AA25" s="22"/>
      <c r="AB25" s="22"/>
      <c r="AC25" s="22"/>
      <c r="AD25" s="22"/>
      <c r="AE25" s="22"/>
    </row>
    <row r="26">
      <c r="A26" s="17" t="s">
        <v>1671</v>
      </c>
      <c r="B26" s="167" t="str">
        <f>IF(ISBLANK(A26),"",VLOOKUP(A26,DOI_URL!$B$1:$C$74,2,FALSE()))</f>
        <v>https://drive.google.com/file/d/1AQi36SYW6AxZOJz3gtz73aEi1-EubdJM/view?usp=sharing</v>
      </c>
      <c r="C26" s="17" t="s">
        <v>3311</v>
      </c>
      <c r="D26" s="22"/>
      <c r="E26" s="17" t="s">
        <v>3627</v>
      </c>
      <c r="F26" s="22"/>
      <c r="G26" s="35" t="s">
        <v>3628</v>
      </c>
      <c r="H26" s="17" t="s">
        <v>1385</v>
      </c>
      <c r="I26" s="17" t="s">
        <v>39</v>
      </c>
      <c r="J26" s="17" t="s">
        <v>806</v>
      </c>
      <c r="K26" s="22"/>
      <c r="L26" s="22"/>
      <c r="M26" s="22"/>
      <c r="N26" s="22"/>
      <c r="O26" s="22"/>
      <c r="P26" s="22"/>
      <c r="Q26" s="22"/>
      <c r="R26" s="22"/>
      <c r="S26" s="22"/>
      <c r="T26" s="22"/>
      <c r="U26" s="22"/>
      <c r="V26" s="22"/>
      <c r="W26" s="22"/>
      <c r="X26" s="22"/>
      <c r="Y26" s="22"/>
      <c r="Z26" s="22"/>
      <c r="AA26" s="22"/>
      <c r="AB26" s="22"/>
      <c r="AC26" s="22"/>
      <c r="AD26" s="22"/>
      <c r="AE26" s="22"/>
    </row>
    <row r="27">
      <c r="A27" s="17" t="s">
        <v>1671</v>
      </c>
      <c r="B27" s="167" t="str">
        <f>IF(ISBLANK(A27),"",VLOOKUP(A27,DOI_URL!$B$1:$C$74,2,FALSE()))</f>
        <v>https://drive.google.com/file/d/1AQi36SYW6AxZOJz3gtz73aEi1-EubdJM/view?usp=sharing</v>
      </c>
      <c r="C27" s="17" t="s">
        <v>3311</v>
      </c>
      <c r="D27" s="17" t="s">
        <v>3309</v>
      </c>
      <c r="E27" s="17" t="s">
        <v>3627</v>
      </c>
      <c r="F27" s="22"/>
      <c r="G27" s="17" t="s">
        <v>1700</v>
      </c>
      <c r="H27" s="17" t="s">
        <v>1701</v>
      </c>
      <c r="I27" s="17" t="s">
        <v>39</v>
      </c>
      <c r="J27" s="17" t="s">
        <v>806</v>
      </c>
      <c r="K27" s="22"/>
      <c r="L27" s="22"/>
      <c r="M27" s="22"/>
      <c r="N27" s="22"/>
      <c r="O27" s="22"/>
      <c r="P27" s="22"/>
      <c r="Q27" s="22"/>
      <c r="R27" s="22"/>
      <c r="S27" s="22"/>
      <c r="T27" s="22"/>
      <c r="U27" s="22"/>
      <c r="V27" s="22"/>
      <c r="W27" s="22"/>
      <c r="X27" s="22"/>
      <c r="Y27" s="22"/>
      <c r="Z27" s="22"/>
      <c r="AA27" s="22"/>
      <c r="AB27" s="22"/>
      <c r="AC27" s="22"/>
      <c r="AD27" s="22"/>
      <c r="AE27" s="22"/>
    </row>
    <row r="28">
      <c r="A28" s="17" t="s">
        <v>1671</v>
      </c>
      <c r="B28" s="167" t="str">
        <f>IF(ISBLANK(A28),"",VLOOKUP(A28,DOI_URL!$B$1:$C$74,2,FALSE()))</f>
        <v>https://drive.google.com/file/d/1AQi36SYW6AxZOJz3gtz73aEi1-EubdJM/view?usp=sharing</v>
      </c>
      <c r="C28" s="17" t="s">
        <v>3311</v>
      </c>
      <c r="D28" s="17" t="s">
        <v>3309</v>
      </c>
      <c r="E28" s="17" t="s">
        <v>3627</v>
      </c>
      <c r="F28" s="35" t="s">
        <v>2245</v>
      </c>
      <c r="G28" s="17" t="s">
        <v>1695</v>
      </c>
      <c r="H28" s="17" t="s">
        <v>1385</v>
      </c>
      <c r="I28" s="17" t="s">
        <v>39</v>
      </c>
      <c r="J28" s="17" t="s">
        <v>806</v>
      </c>
      <c r="K28" s="22"/>
      <c r="L28" s="22"/>
      <c r="M28" s="22"/>
      <c r="N28" s="22"/>
      <c r="O28" s="22"/>
      <c r="P28" s="22"/>
      <c r="Q28" s="22"/>
      <c r="R28" s="22"/>
      <c r="S28" s="22"/>
      <c r="T28" s="22"/>
      <c r="U28" s="22"/>
      <c r="V28" s="22"/>
      <c r="W28" s="22"/>
      <c r="X28" s="22"/>
      <c r="Y28" s="22"/>
      <c r="Z28" s="22"/>
      <c r="AA28" s="22"/>
      <c r="AB28" s="22"/>
      <c r="AC28" s="22"/>
      <c r="AD28" s="22"/>
      <c r="AE28" s="22"/>
    </row>
    <row r="29">
      <c r="A29" s="17" t="s">
        <v>1671</v>
      </c>
      <c r="B29" s="167" t="str">
        <f>IF(ISBLANK(A29),"",VLOOKUP(A29,DOI_URL!$B$1:$C$74,2,FALSE()))</f>
        <v>https://drive.google.com/file/d/1AQi36SYW6AxZOJz3gtz73aEi1-EubdJM/view?usp=sharing</v>
      </c>
      <c r="C29" s="17" t="s">
        <v>3311</v>
      </c>
      <c r="D29" s="22"/>
      <c r="E29" s="17" t="s">
        <v>3629</v>
      </c>
      <c r="F29" s="22"/>
      <c r="G29" s="17" t="s">
        <v>2174</v>
      </c>
      <c r="H29" s="17" t="s">
        <v>1376</v>
      </c>
      <c r="I29" s="17" t="s">
        <v>54</v>
      </c>
      <c r="J29" s="17" t="s">
        <v>806</v>
      </c>
      <c r="K29" s="22"/>
      <c r="L29" s="22"/>
      <c r="M29" s="22"/>
      <c r="N29" s="22"/>
      <c r="O29" s="22"/>
      <c r="P29" s="22"/>
      <c r="Q29" s="22"/>
      <c r="R29" s="22"/>
      <c r="S29" s="22"/>
      <c r="T29" s="22"/>
      <c r="U29" s="22"/>
      <c r="V29" s="22"/>
      <c r="W29" s="22"/>
      <c r="X29" s="22"/>
      <c r="Y29" s="22"/>
      <c r="Z29" s="22"/>
      <c r="AA29" s="22"/>
      <c r="AB29" s="22"/>
      <c r="AC29" s="22"/>
      <c r="AD29" s="22"/>
      <c r="AE29" s="22"/>
    </row>
    <row r="30">
      <c r="A30" s="17" t="s">
        <v>1671</v>
      </c>
      <c r="B30" s="167" t="str">
        <f>IF(ISBLANK(A30),"",VLOOKUP(A30,DOI_URL!$B$1:$C$74,2,FALSE()))</f>
        <v>https://drive.google.com/file/d/1AQi36SYW6AxZOJz3gtz73aEi1-EubdJM/view?usp=sharing</v>
      </c>
      <c r="C30" s="17" t="s">
        <v>3311</v>
      </c>
      <c r="D30" s="17" t="s">
        <v>3309</v>
      </c>
      <c r="E30" s="17" t="s">
        <v>3629</v>
      </c>
      <c r="F30" s="22"/>
      <c r="G30" s="17" t="s">
        <v>3062</v>
      </c>
      <c r="H30" s="17" t="s">
        <v>3063</v>
      </c>
      <c r="I30" s="17" t="s">
        <v>39</v>
      </c>
      <c r="J30" s="17" t="s">
        <v>806</v>
      </c>
      <c r="K30" s="22"/>
      <c r="L30" s="22"/>
      <c r="M30" s="22"/>
      <c r="N30" s="22"/>
      <c r="O30" s="22"/>
      <c r="P30" s="22"/>
      <c r="Q30" s="22"/>
      <c r="R30" s="22"/>
      <c r="S30" s="22"/>
      <c r="T30" s="22"/>
      <c r="U30" s="22"/>
      <c r="V30" s="22"/>
      <c r="W30" s="22"/>
      <c r="X30" s="22"/>
      <c r="Y30" s="22"/>
      <c r="Z30" s="22"/>
      <c r="AA30" s="22"/>
      <c r="AB30" s="22"/>
      <c r="AC30" s="22"/>
      <c r="AD30" s="22"/>
      <c r="AE30" s="22"/>
    </row>
    <row r="31">
      <c r="A31" s="17" t="s">
        <v>1671</v>
      </c>
      <c r="B31" s="167" t="str">
        <f>IF(ISBLANK(A31),"",VLOOKUP(A31,DOI_URL!$B$1:$C$74,2,FALSE()))</f>
        <v>https://drive.google.com/file/d/1AQi36SYW6AxZOJz3gtz73aEi1-EubdJM/view?usp=sharing</v>
      </c>
      <c r="C31" s="17" t="s">
        <v>3311</v>
      </c>
      <c r="D31" s="22"/>
      <c r="E31" s="17" t="s">
        <v>3629</v>
      </c>
      <c r="F31" s="22"/>
      <c r="G31" s="35" t="s">
        <v>3630</v>
      </c>
      <c r="H31" s="17" t="s">
        <v>1699</v>
      </c>
      <c r="I31" s="17" t="s">
        <v>39</v>
      </c>
      <c r="J31" s="17" t="s">
        <v>806</v>
      </c>
      <c r="K31" s="22"/>
      <c r="L31" s="22"/>
      <c r="M31" s="22"/>
      <c r="N31" s="22"/>
      <c r="O31" s="22"/>
      <c r="P31" s="22"/>
      <c r="Q31" s="22"/>
      <c r="R31" s="22"/>
      <c r="S31" s="22"/>
      <c r="T31" s="22"/>
      <c r="U31" s="22"/>
      <c r="V31" s="22"/>
      <c r="W31" s="22"/>
      <c r="X31" s="22"/>
      <c r="Y31" s="22"/>
      <c r="Z31" s="22"/>
      <c r="AA31" s="22"/>
      <c r="AB31" s="22"/>
      <c r="AC31" s="22"/>
      <c r="AD31" s="22"/>
      <c r="AE31" s="22"/>
    </row>
    <row r="32">
      <c r="A32" s="17" t="s">
        <v>1671</v>
      </c>
      <c r="B32" s="167" t="str">
        <f>IF(ISBLANK(A32),"",VLOOKUP(A32,DOI_URL!$B$1:$C$74,2,FALSE()))</f>
        <v>https://drive.google.com/file/d/1AQi36SYW6AxZOJz3gtz73aEi1-EubdJM/view?usp=sharing</v>
      </c>
      <c r="C32" s="17" t="s">
        <v>3311</v>
      </c>
      <c r="D32" s="22"/>
      <c r="E32" s="17" t="s">
        <v>3629</v>
      </c>
      <c r="F32" s="22"/>
      <c r="G32" s="17" t="s">
        <v>923</v>
      </c>
      <c r="H32" s="17" t="s">
        <v>585</v>
      </c>
      <c r="I32" s="22"/>
      <c r="J32" s="17" t="s">
        <v>806</v>
      </c>
      <c r="K32" s="22"/>
      <c r="L32" s="22"/>
      <c r="M32" s="22"/>
      <c r="N32" s="22"/>
      <c r="O32" s="22"/>
      <c r="P32" s="22"/>
      <c r="Q32" s="22"/>
      <c r="R32" s="22"/>
      <c r="S32" s="22"/>
      <c r="T32" s="22"/>
      <c r="U32" s="22"/>
      <c r="V32" s="22"/>
      <c r="W32" s="22"/>
      <c r="X32" s="22"/>
      <c r="Y32" s="22"/>
      <c r="Z32" s="22"/>
      <c r="AA32" s="22"/>
      <c r="AB32" s="22"/>
      <c r="AC32" s="22"/>
      <c r="AD32" s="22"/>
      <c r="AE32" s="22"/>
    </row>
    <row r="33">
      <c r="A33" s="17" t="s">
        <v>1671</v>
      </c>
      <c r="B33" s="167" t="str">
        <f>IF(ISBLANK(A33),"",VLOOKUP(A33,DOI_URL!$B$1:$C$74,2,FALSE()))</f>
        <v>https://drive.google.com/file/d/1AQi36SYW6AxZOJz3gtz73aEi1-EubdJM/view?usp=sharing</v>
      </c>
      <c r="C33" s="17" t="s">
        <v>3311</v>
      </c>
      <c r="D33" s="22"/>
      <c r="E33" s="17" t="s">
        <v>3631</v>
      </c>
      <c r="F33" s="22"/>
      <c r="G33" s="17" t="s">
        <v>1703</v>
      </c>
      <c r="H33" s="22"/>
      <c r="I33" s="17" t="s">
        <v>44</v>
      </c>
      <c r="J33" s="17" t="s">
        <v>806</v>
      </c>
      <c r="K33" s="22"/>
      <c r="L33" s="22"/>
      <c r="M33" s="22"/>
      <c r="N33" s="22"/>
      <c r="O33" s="22"/>
      <c r="P33" s="22"/>
      <c r="Q33" s="22"/>
      <c r="R33" s="22"/>
      <c r="S33" s="22"/>
      <c r="T33" s="22"/>
      <c r="U33" s="22"/>
      <c r="V33" s="22"/>
      <c r="W33" s="22"/>
      <c r="X33" s="22"/>
      <c r="Y33" s="22"/>
      <c r="Z33" s="22"/>
      <c r="AA33" s="22"/>
      <c r="AB33" s="22"/>
      <c r="AC33" s="22"/>
      <c r="AD33" s="22"/>
      <c r="AE33" s="22"/>
    </row>
    <row r="34">
      <c r="A34" s="17" t="s">
        <v>1671</v>
      </c>
      <c r="B34" s="167" t="str">
        <f>IF(ISBLANK(A34),"",VLOOKUP(A34,DOI_URL!$B$1:$C$74,2,FALSE()))</f>
        <v>https://drive.google.com/file/d/1AQi36SYW6AxZOJz3gtz73aEi1-EubdJM/view?usp=sharing</v>
      </c>
      <c r="C34" s="17" t="s">
        <v>3311</v>
      </c>
      <c r="D34" s="17" t="s">
        <v>3309</v>
      </c>
      <c r="E34" s="17" t="s">
        <v>3632</v>
      </c>
      <c r="F34" s="22"/>
      <c r="G34" s="17" t="s">
        <v>1706</v>
      </c>
      <c r="H34" s="17" t="s">
        <v>1707</v>
      </c>
      <c r="I34" s="17" t="s">
        <v>44</v>
      </c>
      <c r="J34" s="17" t="s">
        <v>806</v>
      </c>
      <c r="K34" s="22"/>
      <c r="L34" s="22"/>
      <c r="M34" s="22"/>
      <c r="N34" s="22"/>
      <c r="O34" s="22"/>
      <c r="P34" s="22"/>
      <c r="Q34" s="22"/>
      <c r="R34" s="22"/>
      <c r="S34" s="22"/>
      <c r="T34" s="22"/>
      <c r="U34" s="22"/>
      <c r="V34" s="22"/>
      <c r="W34" s="22"/>
      <c r="X34" s="22"/>
      <c r="Y34" s="22"/>
      <c r="Z34" s="22"/>
      <c r="AA34" s="22"/>
      <c r="AB34" s="22"/>
      <c r="AC34" s="22"/>
      <c r="AD34" s="22"/>
      <c r="AE34" s="22"/>
    </row>
    <row r="35">
      <c r="A35" s="17" t="s">
        <v>1671</v>
      </c>
      <c r="B35" s="167" t="str">
        <f>IF(ISBLANK(A35),"",VLOOKUP(A35,DOI_URL!$B$1:$C$74,2,FALSE()))</f>
        <v>https://drive.google.com/file/d/1AQi36SYW6AxZOJz3gtz73aEi1-EubdJM/view?usp=sharing</v>
      </c>
      <c r="C35" s="17" t="s">
        <v>3311</v>
      </c>
      <c r="D35" s="22"/>
      <c r="E35" s="17" t="s">
        <v>3633</v>
      </c>
      <c r="F35" s="17" t="s">
        <v>1709</v>
      </c>
      <c r="G35" s="17" t="s">
        <v>1710</v>
      </c>
      <c r="H35" s="17" t="s">
        <v>1711</v>
      </c>
      <c r="I35" s="17" t="s">
        <v>39</v>
      </c>
      <c r="J35" s="17" t="s">
        <v>806</v>
      </c>
      <c r="K35" s="22"/>
      <c r="L35" s="22"/>
      <c r="M35" s="22"/>
      <c r="N35" s="22"/>
      <c r="O35" s="22"/>
      <c r="P35" s="22"/>
      <c r="Q35" s="22"/>
      <c r="R35" s="22"/>
      <c r="S35" s="22"/>
      <c r="T35" s="22"/>
      <c r="U35" s="22"/>
      <c r="V35" s="22"/>
      <c r="W35" s="22"/>
      <c r="X35" s="22"/>
      <c r="Y35" s="22"/>
      <c r="Z35" s="22"/>
      <c r="AA35" s="22"/>
      <c r="AB35" s="22"/>
      <c r="AC35" s="22"/>
      <c r="AD35" s="22"/>
      <c r="AE35" s="22"/>
    </row>
    <row r="36">
      <c r="A36" s="17" t="s">
        <v>571</v>
      </c>
      <c r="B36" s="167" t="str">
        <f>IF(ISBLANK(A36),"",VLOOKUP(A36,DOI_URL!$B$1:$C$74,2,FALSE()))</f>
        <v>https://drive.google.com/file/d/1V7ukGVfTRarqinsM0HbZdQC6pcSpYd7S/view?usp=sharing</v>
      </c>
      <c r="C36" s="17" t="s">
        <v>3311</v>
      </c>
      <c r="D36" s="22"/>
      <c r="E36" s="17" t="s">
        <v>2502</v>
      </c>
      <c r="F36" s="17" t="s">
        <v>574</v>
      </c>
      <c r="G36" s="17" t="s">
        <v>593</v>
      </c>
      <c r="H36" s="17" t="s">
        <v>2503</v>
      </c>
      <c r="I36" s="17" t="s">
        <v>2388</v>
      </c>
      <c r="J36" s="17" t="s">
        <v>577</v>
      </c>
      <c r="K36" s="22"/>
      <c r="L36" s="22"/>
      <c r="M36" s="22"/>
      <c r="N36" s="22"/>
      <c r="O36" s="22"/>
      <c r="P36" s="22"/>
      <c r="Q36" s="22"/>
      <c r="R36" s="22"/>
      <c r="S36" s="22"/>
      <c r="T36" s="22"/>
      <c r="U36" s="22"/>
      <c r="V36" s="22"/>
      <c r="W36" s="22"/>
      <c r="X36" s="22"/>
      <c r="Y36" s="22"/>
      <c r="Z36" s="22"/>
      <c r="AA36" s="22"/>
      <c r="AB36" s="22"/>
      <c r="AC36" s="22"/>
      <c r="AD36" s="22"/>
      <c r="AE36" s="22"/>
    </row>
    <row r="37">
      <c r="A37" s="17" t="s">
        <v>571</v>
      </c>
      <c r="B37" s="167" t="str">
        <f>IF(ISBLANK(A37),"",VLOOKUP(A37,DOI_URL!$B$1:$C$74,2,FALSE()))</f>
        <v>https://drive.google.com/file/d/1V7ukGVfTRarqinsM0HbZdQC6pcSpYd7S/view?usp=sharing</v>
      </c>
      <c r="C37" s="17" t="s">
        <v>3311</v>
      </c>
      <c r="D37" s="22"/>
      <c r="E37" s="17" t="s">
        <v>2504</v>
      </c>
      <c r="F37" s="22"/>
      <c r="G37" s="17" t="s">
        <v>934</v>
      </c>
      <c r="H37" s="17" t="s">
        <v>1385</v>
      </c>
      <c r="I37" s="17" t="s">
        <v>39</v>
      </c>
      <c r="J37" s="17" t="s">
        <v>577</v>
      </c>
      <c r="K37" s="22"/>
      <c r="L37" s="22"/>
      <c r="M37" s="22"/>
      <c r="N37" s="22"/>
      <c r="O37" s="22"/>
      <c r="P37" s="22"/>
      <c r="Q37" s="22"/>
      <c r="R37" s="22"/>
      <c r="S37" s="22"/>
      <c r="T37" s="22"/>
      <c r="U37" s="22"/>
      <c r="V37" s="22"/>
      <c r="W37" s="22"/>
      <c r="X37" s="22"/>
      <c r="Y37" s="22"/>
      <c r="Z37" s="22"/>
      <c r="AA37" s="22"/>
      <c r="AB37" s="22"/>
      <c r="AC37" s="22"/>
      <c r="AD37" s="22"/>
      <c r="AE37" s="22"/>
    </row>
    <row r="38">
      <c r="A38" s="17" t="s">
        <v>571</v>
      </c>
      <c r="B38" s="167" t="str">
        <f>IF(ISBLANK(A38),"",VLOOKUP(A38,DOI_URL!$B$1:$C$74,2,FALSE()))</f>
        <v>https://drive.google.com/file/d/1V7ukGVfTRarqinsM0HbZdQC6pcSpYd7S/view?usp=sharing</v>
      </c>
      <c r="C38" s="17" t="s">
        <v>3311</v>
      </c>
      <c r="D38" s="22"/>
      <c r="E38" s="17" t="s">
        <v>2504</v>
      </c>
      <c r="F38" s="22"/>
      <c r="G38" s="17" t="s">
        <v>2505</v>
      </c>
      <c r="H38" s="17" t="s">
        <v>1385</v>
      </c>
      <c r="I38" s="17" t="s">
        <v>39</v>
      </c>
      <c r="J38" s="17" t="s">
        <v>577</v>
      </c>
      <c r="K38" s="22"/>
      <c r="L38" s="22"/>
      <c r="M38" s="22"/>
      <c r="N38" s="22"/>
      <c r="O38" s="22"/>
      <c r="P38" s="22"/>
      <c r="Q38" s="22"/>
      <c r="R38" s="22"/>
      <c r="S38" s="22"/>
      <c r="T38" s="22"/>
      <c r="U38" s="22"/>
      <c r="V38" s="22"/>
      <c r="W38" s="22"/>
      <c r="X38" s="22"/>
      <c r="Y38" s="22"/>
      <c r="Z38" s="22"/>
      <c r="AA38" s="22"/>
      <c r="AB38" s="22"/>
      <c r="AC38" s="22"/>
      <c r="AD38" s="22"/>
      <c r="AE38" s="22"/>
    </row>
    <row r="39">
      <c r="A39" s="17" t="s">
        <v>571</v>
      </c>
      <c r="B39" s="167" t="str">
        <f>IF(ISBLANK(A39),"",VLOOKUP(A39,DOI_URL!$B$1:$C$74,2,FALSE()))</f>
        <v>https://drive.google.com/file/d/1V7ukGVfTRarqinsM0HbZdQC6pcSpYd7S/view?usp=sharing</v>
      </c>
      <c r="C39" s="17" t="s">
        <v>3311</v>
      </c>
      <c r="D39" s="22"/>
      <c r="E39" s="17" t="s">
        <v>2504</v>
      </c>
      <c r="F39" s="22"/>
      <c r="G39" s="17" t="s">
        <v>2392</v>
      </c>
      <c r="H39" s="17" t="s">
        <v>364</v>
      </c>
      <c r="I39" s="17" t="s">
        <v>39</v>
      </c>
      <c r="J39" s="17" t="s">
        <v>577</v>
      </c>
      <c r="K39" s="22"/>
      <c r="L39" s="22"/>
      <c r="M39" s="22"/>
      <c r="N39" s="22"/>
      <c r="O39" s="22"/>
      <c r="P39" s="22"/>
      <c r="Q39" s="22"/>
      <c r="R39" s="22"/>
      <c r="S39" s="22"/>
      <c r="T39" s="22"/>
      <c r="U39" s="22"/>
      <c r="V39" s="22"/>
      <c r="W39" s="22"/>
      <c r="X39" s="22"/>
      <c r="Y39" s="22"/>
      <c r="Z39" s="22"/>
      <c r="AA39" s="22"/>
      <c r="AB39" s="22"/>
      <c r="AC39" s="22"/>
      <c r="AD39" s="22"/>
      <c r="AE39" s="22"/>
    </row>
    <row r="40">
      <c r="A40" s="17" t="s">
        <v>571</v>
      </c>
      <c r="B40" s="167" t="str">
        <f>IF(ISBLANK(A40),"",VLOOKUP(A40,DOI_URL!$B$1:$C$74,2,FALSE()))</f>
        <v>https://drive.google.com/file/d/1V7ukGVfTRarqinsM0HbZdQC6pcSpYd7S/view?usp=sharing</v>
      </c>
      <c r="C40" s="17" t="s">
        <v>3311</v>
      </c>
      <c r="D40" s="22"/>
      <c r="E40" s="17" t="s">
        <v>583</v>
      </c>
      <c r="F40" s="22"/>
      <c r="G40" s="17" t="s">
        <v>584</v>
      </c>
      <c r="H40" s="17" t="s">
        <v>585</v>
      </c>
      <c r="I40" s="17" t="s">
        <v>39</v>
      </c>
      <c r="J40" s="17" t="s">
        <v>577</v>
      </c>
      <c r="K40" s="22"/>
      <c r="L40" s="22"/>
      <c r="M40" s="22"/>
      <c r="N40" s="22"/>
      <c r="O40" s="22"/>
      <c r="P40" s="22"/>
      <c r="Q40" s="22"/>
      <c r="R40" s="22"/>
      <c r="S40" s="22"/>
      <c r="T40" s="22"/>
      <c r="U40" s="22"/>
      <c r="V40" s="22"/>
      <c r="W40" s="22"/>
      <c r="X40" s="22"/>
      <c r="Y40" s="22"/>
      <c r="Z40" s="22"/>
      <c r="AA40" s="22"/>
      <c r="AB40" s="22"/>
      <c r="AC40" s="22"/>
      <c r="AD40" s="22"/>
      <c r="AE40" s="22"/>
    </row>
    <row r="41">
      <c r="A41" s="17" t="s">
        <v>1362</v>
      </c>
      <c r="B41" s="167" t="str">
        <f>IF(ISBLANK(A41),"",VLOOKUP(A41,DOI_URL!$B$1:$C$74,2,FALSE()))</f>
        <v>https://drive.google.com/file/d/1I7yD7lsvSSCG_UY_BzPf_XI6UxRLHdlc/view?usp=sharing</v>
      </c>
      <c r="C41" s="17" t="s">
        <v>3311</v>
      </c>
      <c r="D41" s="22"/>
      <c r="E41" s="17" t="s">
        <v>3634</v>
      </c>
      <c r="F41" s="22"/>
      <c r="G41" s="17" t="s">
        <v>2922</v>
      </c>
      <c r="H41" s="22"/>
      <c r="I41" s="17" t="s">
        <v>54</v>
      </c>
      <c r="J41" s="17" t="s">
        <v>1367</v>
      </c>
      <c r="K41" s="22"/>
      <c r="L41" s="22"/>
      <c r="M41" s="22"/>
      <c r="N41" s="22"/>
      <c r="O41" s="22"/>
      <c r="P41" s="22"/>
      <c r="Q41" s="22"/>
      <c r="R41" s="22"/>
      <c r="S41" s="22"/>
      <c r="T41" s="22"/>
      <c r="U41" s="22"/>
      <c r="V41" s="22"/>
      <c r="W41" s="22"/>
      <c r="X41" s="22"/>
      <c r="Y41" s="22"/>
      <c r="Z41" s="22"/>
      <c r="AA41" s="22"/>
      <c r="AB41" s="22"/>
      <c r="AC41" s="22"/>
      <c r="AD41" s="22"/>
      <c r="AE41" s="22"/>
    </row>
    <row r="42">
      <c r="A42" s="17" t="s">
        <v>1362</v>
      </c>
      <c r="B42" s="167" t="str">
        <f>IF(ISBLANK(A42),"",VLOOKUP(A42,DOI_URL!$B$1:$C$74,2,FALSE()))</f>
        <v>https://drive.google.com/file/d/1I7yD7lsvSSCG_UY_BzPf_XI6UxRLHdlc/view?usp=sharing</v>
      </c>
      <c r="C42" s="17" t="s">
        <v>3311</v>
      </c>
      <c r="D42" s="22"/>
      <c r="E42" s="17" t="s">
        <v>3634</v>
      </c>
      <c r="F42" s="22"/>
      <c r="G42" s="17" t="s">
        <v>1371</v>
      </c>
      <c r="H42" s="22"/>
      <c r="I42" s="17" t="s">
        <v>54</v>
      </c>
      <c r="J42" s="17" t="s">
        <v>1367</v>
      </c>
      <c r="K42" s="22"/>
      <c r="L42" s="22"/>
      <c r="M42" s="22"/>
      <c r="N42" s="22"/>
      <c r="O42" s="22"/>
      <c r="P42" s="22"/>
      <c r="Q42" s="22"/>
      <c r="R42" s="22"/>
      <c r="S42" s="22"/>
      <c r="T42" s="22"/>
      <c r="U42" s="22"/>
      <c r="V42" s="22"/>
      <c r="W42" s="22"/>
      <c r="X42" s="22"/>
      <c r="Y42" s="22"/>
      <c r="Z42" s="22"/>
      <c r="AA42" s="22"/>
      <c r="AB42" s="22"/>
      <c r="AC42" s="22"/>
      <c r="AD42" s="22"/>
      <c r="AE42" s="22"/>
    </row>
    <row r="43">
      <c r="A43" s="17" t="s">
        <v>1362</v>
      </c>
      <c r="B43" s="167" t="str">
        <f>IF(ISBLANK(A43),"",VLOOKUP(A43,DOI_URL!$B$1:$C$74,2,FALSE()))</f>
        <v>https://drive.google.com/file/d/1I7yD7lsvSSCG_UY_BzPf_XI6UxRLHdlc/view?usp=sharing</v>
      </c>
      <c r="C43" s="17" t="s">
        <v>3311</v>
      </c>
      <c r="D43" s="22"/>
      <c r="E43" s="17" t="s">
        <v>3635</v>
      </c>
      <c r="F43" s="22"/>
      <c r="G43" s="17" t="s">
        <v>2923</v>
      </c>
      <c r="H43" s="17" t="s">
        <v>1376</v>
      </c>
      <c r="I43" s="17" t="s">
        <v>54</v>
      </c>
      <c r="J43" s="17" t="s">
        <v>1367</v>
      </c>
      <c r="K43" s="22"/>
      <c r="L43" s="22"/>
      <c r="M43" s="22"/>
      <c r="N43" s="22"/>
      <c r="O43" s="22"/>
      <c r="P43" s="22"/>
      <c r="Q43" s="22"/>
      <c r="R43" s="22"/>
      <c r="S43" s="22"/>
      <c r="T43" s="22"/>
      <c r="U43" s="22"/>
      <c r="V43" s="22"/>
      <c r="W43" s="22"/>
      <c r="X43" s="22"/>
      <c r="Y43" s="22"/>
      <c r="Z43" s="22"/>
      <c r="AA43" s="22"/>
      <c r="AB43" s="22"/>
      <c r="AC43" s="22"/>
      <c r="AD43" s="22"/>
      <c r="AE43" s="22"/>
    </row>
    <row r="44">
      <c r="A44" s="17" t="s">
        <v>1362</v>
      </c>
      <c r="B44" s="167" t="str">
        <f>IF(ISBLANK(A44),"",VLOOKUP(A44,DOI_URL!$B$1:$C$74,2,FALSE()))</f>
        <v>https://drive.google.com/file/d/1I7yD7lsvSSCG_UY_BzPf_XI6UxRLHdlc/view?usp=sharing</v>
      </c>
      <c r="C44" s="17" t="s">
        <v>3311</v>
      </c>
      <c r="D44" s="22"/>
      <c r="E44" s="17" t="s">
        <v>3635</v>
      </c>
      <c r="F44" s="22"/>
      <c r="G44" s="17" t="s">
        <v>2924</v>
      </c>
      <c r="H44" s="17" t="s">
        <v>1374</v>
      </c>
      <c r="I44" s="17" t="s">
        <v>54</v>
      </c>
      <c r="J44" s="17" t="s">
        <v>1367</v>
      </c>
      <c r="K44" s="22"/>
      <c r="L44" s="22"/>
      <c r="M44" s="22"/>
      <c r="N44" s="22"/>
      <c r="O44" s="22"/>
      <c r="P44" s="22"/>
      <c r="Q44" s="22"/>
      <c r="R44" s="22"/>
      <c r="S44" s="22"/>
      <c r="T44" s="22"/>
      <c r="U44" s="22"/>
      <c r="V44" s="22"/>
      <c r="W44" s="22"/>
      <c r="X44" s="22"/>
      <c r="Y44" s="22"/>
      <c r="Z44" s="22"/>
      <c r="AA44" s="22"/>
      <c r="AB44" s="22"/>
      <c r="AC44" s="22"/>
      <c r="AD44" s="22"/>
      <c r="AE44" s="22"/>
    </row>
    <row r="45">
      <c r="A45" s="17" t="s">
        <v>1362</v>
      </c>
      <c r="B45" s="167" t="str">
        <f>IF(ISBLANK(A45),"",VLOOKUP(A45,DOI_URL!$B$1:$C$74,2,FALSE()))</f>
        <v>https://drive.google.com/file/d/1I7yD7lsvSSCG_UY_BzPf_XI6UxRLHdlc/view?usp=sharing</v>
      </c>
      <c r="C45" s="17" t="s">
        <v>3311</v>
      </c>
      <c r="D45" s="22"/>
      <c r="E45" s="17" t="s">
        <v>3636</v>
      </c>
      <c r="F45" s="22"/>
      <c r="G45" s="17" t="s">
        <v>2921</v>
      </c>
      <c r="H45" s="17" t="s">
        <v>1378</v>
      </c>
      <c r="I45" s="17" t="s">
        <v>54</v>
      </c>
      <c r="J45" s="17" t="s">
        <v>1367</v>
      </c>
      <c r="K45" s="22"/>
      <c r="L45" s="22"/>
      <c r="M45" s="22"/>
      <c r="N45" s="22"/>
      <c r="O45" s="22"/>
      <c r="P45" s="22"/>
      <c r="Q45" s="22"/>
      <c r="R45" s="22"/>
      <c r="S45" s="22"/>
      <c r="T45" s="22"/>
      <c r="U45" s="22"/>
      <c r="V45" s="22"/>
      <c r="W45" s="22"/>
      <c r="X45" s="22"/>
      <c r="Y45" s="22"/>
      <c r="Z45" s="22"/>
      <c r="AA45" s="22"/>
      <c r="AB45" s="22"/>
      <c r="AC45" s="22"/>
      <c r="AD45" s="22"/>
      <c r="AE45" s="22"/>
    </row>
    <row r="46">
      <c r="A46" s="17" t="s">
        <v>1362</v>
      </c>
      <c r="B46" s="167" t="str">
        <f>IF(ISBLANK(A46),"",VLOOKUP(A46,DOI_URL!$B$1:$C$74,2,FALSE()))</f>
        <v>https://drive.google.com/file/d/1I7yD7lsvSSCG_UY_BzPf_XI6UxRLHdlc/view?usp=sharing</v>
      </c>
      <c r="C46" s="17" t="s">
        <v>3311</v>
      </c>
      <c r="D46" s="22"/>
      <c r="E46" s="17" t="s">
        <v>3637</v>
      </c>
      <c r="F46" s="35" t="s">
        <v>2177</v>
      </c>
      <c r="G46" s="17" t="s">
        <v>934</v>
      </c>
      <c r="H46" s="17" t="s">
        <v>1385</v>
      </c>
      <c r="I46" s="17" t="s">
        <v>39</v>
      </c>
      <c r="J46" s="17" t="s">
        <v>1367</v>
      </c>
      <c r="K46" s="22"/>
      <c r="L46" s="22"/>
      <c r="M46" s="22"/>
      <c r="N46" s="22"/>
      <c r="O46" s="22"/>
      <c r="P46" s="22"/>
      <c r="Q46" s="22"/>
      <c r="R46" s="22"/>
      <c r="S46" s="22"/>
      <c r="T46" s="22"/>
      <c r="U46" s="22"/>
      <c r="V46" s="22"/>
      <c r="W46" s="22"/>
      <c r="X46" s="22"/>
      <c r="Y46" s="22"/>
      <c r="Z46" s="22"/>
      <c r="AA46" s="22"/>
      <c r="AB46" s="22"/>
      <c r="AC46" s="22"/>
      <c r="AD46" s="22"/>
      <c r="AE46" s="22"/>
    </row>
    <row r="47">
      <c r="A47" s="17" t="s">
        <v>1362</v>
      </c>
      <c r="B47" s="167" t="str">
        <f>IF(ISBLANK(A47),"",VLOOKUP(A47,DOI_URL!$B$1:$C$74,2,FALSE()))</f>
        <v>https://drive.google.com/file/d/1I7yD7lsvSSCG_UY_BzPf_XI6UxRLHdlc/view?usp=sharing</v>
      </c>
      <c r="C47" s="17" t="s">
        <v>3311</v>
      </c>
      <c r="D47" s="22"/>
      <c r="E47" s="17" t="s">
        <v>3637</v>
      </c>
      <c r="F47" s="35" t="s">
        <v>2177</v>
      </c>
      <c r="G47" s="17" t="s">
        <v>2505</v>
      </c>
      <c r="H47" s="17" t="s">
        <v>1385</v>
      </c>
      <c r="I47" s="17" t="s">
        <v>39</v>
      </c>
      <c r="J47" s="17" t="s">
        <v>1367</v>
      </c>
      <c r="K47" s="22"/>
      <c r="L47" s="22"/>
      <c r="M47" s="22"/>
      <c r="N47" s="22"/>
      <c r="O47" s="22"/>
      <c r="P47" s="22"/>
      <c r="Q47" s="22"/>
      <c r="R47" s="22"/>
      <c r="S47" s="22"/>
      <c r="T47" s="22"/>
      <c r="U47" s="22"/>
      <c r="V47" s="22"/>
      <c r="W47" s="22"/>
      <c r="X47" s="22"/>
      <c r="Y47" s="22"/>
      <c r="Z47" s="22"/>
      <c r="AA47" s="22"/>
      <c r="AB47" s="22"/>
      <c r="AC47" s="22"/>
      <c r="AD47" s="22"/>
      <c r="AE47" s="22"/>
    </row>
    <row r="48">
      <c r="A48" s="17" t="s">
        <v>1362</v>
      </c>
      <c r="B48" s="167" t="str">
        <f>IF(ISBLANK(A48),"",VLOOKUP(A48,DOI_URL!$B$1:$C$74,2,FALSE()))</f>
        <v>https://drive.google.com/file/d/1I7yD7lsvSSCG_UY_BzPf_XI6UxRLHdlc/view?usp=sharing</v>
      </c>
      <c r="C48" s="17" t="s">
        <v>3311</v>
      </c>
      <c r="D48" s="22"/>
      <c r="E48" s="17" t="s">
        <v>3637</v>
      </c>
      <c r="F48" s="22"/>
      <c r="G48" s="17" t="s">
        <v>1386</v>
      </c>
      <c r="H48" s="17" t="s">
        <v>1387</v>
      </c>
      <c r="I48" s="17" t="s">
        <v>39</v>
      </c>
      <c r="J48" s="17" t="s">
        <v>1367</v>
      </c>
      <c r="K48" s="22"/>
      <c r="L48" s="22"/>
      <c r="M48" s="22"/>
      <c r="N48" s="22"/>
      <c r="O48" s="22"/>
      <c r="P48" s="22"/>
      <c r="Q48" s="22"/>
      <c r="R48" s="22"/>
      <c r="S48" s="22"/>
      <c r="T48" s="22"/>
      <c r="U48" s="22"/>
      <c r="V48" s="22"/>
      <c r="W48" s="22"/>
      <c r="X48" s="22"/>
      <c r="Y48" s="22"/>
      <c r="Z48" s="22"/>
      <c r="AA48" s="22"/>
      <c r="AB48" s="22"/>
      <c r="AC48" s="22"/>
      <c r="AD48" s="22"/>
      <c r="AE48" s="22"/>
    </row>
    <row r="49">
      <c r="A49" s="17" t="s">
        <v>1362</v>
      </c>
      <c r="B49" s="167" t="str">
        <f>IF(ISBLANK(A49),"",VLOOKUP(A49,DOI_URL!$B$1:$C$74,2,FALSE()))</f>
        <v>https://drive.google.com/file/d/1I7yD7lsvSSCG_UY_BzPf_XI6UxRLHdlc/view?usp=sharing</v>
      </c>
      <c r="C49" s="17" t="s">
        <v>3311</v>
      </c>
      <c r="D49" s="22"/>
      <c r="E49" s="17" t="s">
        <v>3638</v>
      </c>
      <c r="F49" s="17" t="s">
        <v>1391</v>
      </c>
      <c r="G49" s="17" t="s">
        <v>1392</v>
      </c>
      <c r="H49" s="17" t="s">
        <v>2925</v>
      </c>
      <c r="I49" s="17" t="s">
        <v>2388</v>
      </c>
      <c r="J49" s="17" t="s">
        <v>1367</v>
      </c>
      <c r="K49" s="22"/>
      <c r="L49" s="22"/>
      <c r="M49" s="22"/>
      <c r="N49" s="22"/>
      <c r="O49" s="22"/>
      <c r="P49" s="22"/>
      <c r="Q49" s="22"/>
      <c r="R49" s="22"/>
      <c r="S49" s="22"/>
      <c r="T49" s="22"/>
      <c r="U49" s="22"/>
      <c r="V49" s="22"/>
      <c r="W49" s="22"/>
      <c r="X49" s="22"/>
      <c r="Y49" s="22"/>
      <c r="Z49" s="22"/>
      <c r="AA49" s="22"/>
      <c r="AB49" s="22"/>
      <c r="AC49" s="22"/>
      <c r="AD49" s="22"/>
      <c r="AE49" s="22"/>
    </row>
    <row r="50">
      <c r="A50" s="17" t="s">
        <v>1362</v>
      </c>
      <c r="B50" s="167" t="str">
        <f>IF(ISBLANK(A50),"",VLOOKUP(A50,DOI_URL!$B$1:$C$74,2,FALSE()))</f>
        <v>https://drive.google.com/file/d/1I7yD7lsvSSCG_UY_BzPf_XI6UxRLHdlc/view?usp=sharing</v>
      </c>
      <c r="C50" s="17" t="s">
        <v>3311</v>
      </c>
      <c r="D50" s="22"/>
      <c r="E50" s="17" t="s">
        <v>3639</v>
      </c>
      <c r="F50" s="35" t="s">
        <v>914</v>
      </c>
      <c r="G50" s="35" t="s">
        <v>3640</v>
      </c>
      <c r="H50" s="17" t="s">
        <v>364</v>
      </c>
      <c r="I50" s="17" t="s">
        <v>39</v>
      </c>
      <c r="J50" s="17" t="s">
        <v>1367</v>
      </c>
      <c r="K50" s="22"/>
      <c r="L50" s="22"/>
      <c r="M50" s="22"/>
      <c r="N50" s="22"/>
      <c r="O50" s="22"/>
      <c r="P50" s="22"/>
      <c r="Q50" s="22"/>
      <c r="R50" s="22"/>
      <c r="S50" s="22"/>
      <c r="T50" s="22"/>
      <c r="U50" s="22"/>
      <c r="V50" s="22"/>
      <c r="W50" s="22"/>
      <c r="X50" s="22"/>
      <c r="Y50" s="22"/>
      <c r="Z50" s="22"/>
      <c r="AA50" s="22"/>
      <c r="AB50" s="22"/>
      <c r="AC50" s="22"/>
      <c r="AD50" s="22"/>
      <c r="AE50" s="22"/>
    </row>
    <row r="51">
      <c r="A51" s="17" t="s">
        <v>1824</v>
      </c>
      <c r="B51" s="167" t="str">
        <f>IF(ISBLANK(A51),"",VLOOKUP(A51,DOI_URL!$B$1:$C$74,2,FALSE()))</f>
        <v>https://drive.google.com/file/d/1z5TEaHnUuEv3unfZMg5FX14KyquGwiA5/view?usp=sharing</v>
      </c>
      <c r="C51" s="17" t="s">
        <v>3311</v>
      </c>
      <c r="D51" s="22"/>
      <c r="E51" s="17" t="s">
        <v>3641</v>
      </c>
      <c r="F51" s="35" t="s">
        <v>803</v>
      </c>
      <c r="G51" s="17" t="s">
        <v>1833</v>
      </c>
      <c r="H51" s="17" t="s">
        <v>1834</v>
      </c>
      <c r="I51" s="17" t="s">
        <v>106</v>
      </c>
      <c r="J51" s="17" t="s">
        <v>1826</v>
      </c>
      <c r="K51" s="22"/>
      <c r="L51" s="22"/>
      <c r="M51" s="22"/>
      <c r="N51" s="22"/>
      <c r="O51" s="22"/>
      <c r="P51" s="22"/>
      <c r="Q51" s="22"/>
      <c r="R51" s="22"/>
      <c r="S51" s="22"/>
      <c r="T51" s="22"/>
      <c r="U51" s="22"/>
      <c r="V51" s="22"/>
      <c r="W51" s="22"/>
      <c r="X51" s="22"/>
      <c r="Y51" s="22"/>
      <c r="Z51" s="22"/>
      <c r="AA51" s="22"/>
      <c r="AB51" s="22"/>
      <c r="AC51" s="22"/>
      <c r="AD51" s="22"/>
      <c r="AE51" s="22"/>
    </row>
    <row r="52">
      <c r="A52" s="17" t="s">
        <v>1824</v>
      </c>
      <c r="B52" s="167" t="str">
        <f>IF(ISBLANK(A52),"",VLOOKUP(A52,DOI_URL!$B$1:$C$74,2,FALSE()))</f>
        <v>https://drive.google.com/file/d/1z5TEaHnUuEv3unfZMg5FX14KyquGwiA5/view?usp=sharing</v>
      </c>
      <c r="C52" s="17" t="s">
        <v>3311</v>
      </c>
      <c r="D52" s="22"/>
      <c r="E52" s="17" t="s">
        <v>3642</v>
      </c>
      <c r="F52" s="22"/>
      <c r="G52" s="17" t="s">
        <v>965</v>
      </c>
      <c r="H52" s="17" t="s">
        <v>3094</v>
      </c>
      <c r="I52" s="17" t="s">
        <v>106</v>
      </c>
      <c r="J52" s="17" t="s">
        <v>1826</v>
      </c>
      <c r="K52" s="22"/>
      <c r="L52" s="22"/>
      <c r="M52" s="22"/>
      <c r="N52" s="22"/>
      <c r="O52" s="22"/>
      <c r="P52" s="22"/>
      <c r="Q52" s="22"/>
      <c r="R52" s="22"/>
      <c r="S52" s="22"/>
      <c r="T52" s="22"/>
      <c r="U52" s="22"/>
      <c r="V52" s="22"/>
      <c r="W52" s="22"/>
      <c r="X52" s="22"/>
      <c r="Y52" s="22"/>
      <c r="Z52" s="22"/>
      <c r="AA52" s="22"/>
      <c r="AB52" s="22"/>
      <c r="AC52" s="22"/>
      <c r="AD52" s="22"/>
      <c r="AE52" s="22"/>
    </row>
    <row r="53">
      <c r="A53" s="17" t="s">
        <v>1824</v>
      </c>
      <c r="B53" s="167" t="str">
        <f>IF(ISBLANK(A53),"",VLOOKUP(A53,DOI_URL!$B$1:$C$74,2,FALSE()))</f>
        <v>https://drive.google.com/file/d/1z5TEaHnUuEv3unfZMg5FX14KyquGwiA5/view?usp=sharing</v>
      </c>
      <c r="C53" s="17" t="s">
        <v>3311</v>
      </c>
      <c r="D53" s="22"/>
      <c r="E53" s="17" t="s">
        <v>3642</v>
      </c>
      <c r="F53" s="35" t="s">
        <v>3643</v>
      </c>
      <c r="G53" s="17" t="s">
        <v>3102</v>
      </c>
      <c r="H53" s="17" t="s">
        <v>1839</v>
      </c>
      <c r="I53" s="17" t="s">
        <v>106</v>
      </c>
      <c r="J53" s="17" t="s">
        <v>1826</v>
      </c>
      <c r="K53" s="22"/>
      <c r="L53" s="22"/>
      <c r="M53" s="22"/>
      <c r="N53" s="22"/>
      <c r="O53" s="22"/>
      <c r="P53" s="22"/>
      <c r="Q53" s="22"/>
      <c r="R53" s="22"/>
      <c r="S53" s="22"/>
      <c r="T53" s="22"/>
      <c r="U53" s="22"/>
      <c r="V53" s="22"/>
      <c r="W53" s="22"/>
      <c r="X53" s="22"/>
      <c r="Y53" s="22"/>
      <c r="Z53" s="22"/>
      <c r="AA53" s="22"/>
      <c r="AB53" s="22"/>
      <c r="AC53" s="22"/>
      <c r="AD53" s="22"/>
      <c r="AE53" s="22"/>
    </row>
    <row r="54">
      <c r="A54" s="17" t="s">
        <v>1824</v>
      </c>
      <c r="B54" s="167" t="str">
        <f>IF(ISBLANK(A54),"",VLOOKUP(A54,DOI_URL!$B$1:$C$74,2,FALSE()))</f>
        <v>https://drive.google.com/file/d/1z5TEaHnUuEv3unfZMg5FX14KyquGwiA5/view?usp=sharing</v>
      </c>
      <c r="C54" s="17" t="s">
        <v>3311</v>
      </c>
      <c r="D54" s="22"/>
      <c r="E54" s="17" t="s">
        <v>3644</v>
      </c>
      <c r="F54" s="17" t="s">
        <v>3105</v>
      </c>
      <c r="G54" s="17" t="s">
        <v>3106</v>
      </c>
      <c r="H54" s="17" t="s">
        <v>3107</v>
      </c>
      <c r="I54" s="17" t="s">
        <v>14</v>
      </c>
      <c r="J54" s="17" t="s">
        <v>1826</v>
      </c>
      <c r="K54" s="22"/>
      <c r="L54" s="22"/>
      <c r="M54" s="22"/>
      <c r="N54" s="22"/>
      <c r="O54" s="22"/>
      <c r="P54" s="22"/>
      <c r="Q54" s="22"/>
      <c r="R54" s="22"/>
      <c r="S54" s="22"/>
      <c r="T54" s="22"/>
      <c r="U54" s="22"/>
      <c r="V54" s="22"/>
      <c r="W54" s="22"/>
      <c r="X54" s="22"/>
      <c r="Y54" s="22"/>
      <c r="Z54" s="22"/>
      <c r="AA54" s="22"/>
      <c r="AB54" s="22"/>
      <c r="AC54" s="22"/>
      <c r="AD54" s="22"/>
      <c r="AE54" s="22"/>
    </row>
    <row r="55">
      <c r="A55" s="17" t="s">
        <v>1824</v>
      </c>
      <c r="B55" s="167" t="str">
        <f>IF(ISBLANK(A55),"",VLOOKUP(A55,DOI_URL!$B$1:$C$74,2,FALSE()))</f>
        <v>https://drive.google.com/file/d/1z5TEaHnUuEv3unfZMg5FX14KyquGwiA5/view?usp=sharing</v>
      </c>
      <c r="C55" s="17" t="s">
        <v>3311</v>
      </c>
      <c r="D55" s="22"/>
      <c r="E55" s="17" t="s">
        <v>3645</v>
      </c>
      <c r="F55" s="17" t="s">
        <v>1849</v>
      </c>
      <c r="G55" s="17" t="s">
        <v>933</v>
      </c>
      <c r="H55" s="22"/>
      <c r="I55" s="17" t="s">
        <v>54</v>
      </c>
      <c r="J55" s="17" t="s">
        <v>1826</v>
      </c>
      <c r="K55" s="22"/>
      <c r="L55" s="22"/>
      <c r="M55" s="22"/>
      <c r="N55" s="22"/>
      <c r="O55" s="22"/>
      <c r="P55" s="22"/>
      <c r="Q55" s="22"/>
      <c r="R55" s="22"/>
      <c r="S55" s="22"/>
      <c r="T55" s="22"/>
      <c r="U55" s="22"/>
      <c r="V55" s="22"/>
      <c r="W55" s="22"/>
      <c r="X55" s="22"/>
      <c r="Y55" s="22"/>
      <c r="Z55" s="22"/>
      <c r="AA55" s="22"/>
      <c r="AB55" s="22"/>
      <c r="AC55" s="22"/>
      <c r="AD55" s="22"/>
      <c r="AE55" s="22"/>
    </row>
    <row r="56">
      <c r="A56" s="17" t="s">
        <v>1824</v>
      </c>
      <c r="B56" s="167" t="str">
        <f>IF(ISBLANK(A56),"",VLOOKUP(A56,DOI_URL!$B$1:$C$74,2,FALSE()))</f>
        <v>https://drive.google.com/file/d/1z5TEaHnUuEv3unfZMg5FX14KyquGwiA5/view?usp=sharing</v>
      </c>
      <c r="C56" s="17" t="s">
        <v>3311</v>
      </c>
      <c r="D56" s="22"/>
      <c r="E56" s="17" t="s">
        <v>3646</v>
      </c>
      <c r="F56" s="17" t="s">
        <v>1849</v>
      </c>
      <c r="G56" s="17" t="s">
        <v>1851</v>
      </c>
      <c r="H56" s="17" t="s">
        <v>3101</v>
      </c>
      <c r="I56" s="17" t="s">
        <v>54</v>
      </c>
      <c r="J56" s="17" t="s">
        <v>1826</v>
      </c>
      <c r="K56" s="22"/>
      <c r="L56" s="22"/>
      <c r="M56" s="22"/>
      <c r="N56" s="22"/>
      <c r="O56" s="22"/>
      <c r="P56" s="22"/>
      <c r="Q56" s="22"/>
      <c r="R56" s="22"/>
      <c r="S56" s="22"/>
      <c r="T56" s="22"/>
      <c r="U56" s="22"/>
      <c r="V56" s="22"/>
      <c r="W56" s="22"/>
      <c r="X56" s="22"/>
      <c r="Y56" s="22"/>
      <c r="Z56" s="22"/>
      <c r="AA56" s="22"/>
      <c r="AB56" s="22"/>
      <c r="AC56" s="22"/>
      <c r="AD56" s="22"/>
      <c r="AE56" s="22"/>
    </row>
    <row r="57">
      <c r="A57" s="17" t="s">
        <v>1824</v>
      </c>
      <c r="B57" s="167" t="str">
        <f>IF(ISBLANK(A57),"",VLOOKUP(A57,DOI_URL!$B$1:$C$74,2,FALSE()))</f>
        <v>https://drive.google.com/file/d/1z5TEaHnUuEv3unfZMg5FX14KyquGwiA5/view?usp=sharing</v>
      </c>
      <c r="C57" s="17" t="s">
        <v>3311</v>
      </c>
      <c r="D57" s="22"/>
      <c r="E57" s="17" t="s">
        <v>3645</v>
      </c>
      <c r="F57" s="22"/>
      <c r="G57" s="17" t="s">
        <v>3109</v>
      </c>
      <c r="H57" s="178" t="s">
        <v>3110</v>
      </c>
      <c r="I57" s="17" t="s">
        <v>54</v>
      </c>
      <c r="J57" s="17" t="s">
        <v>1826</v>
      </c>
      <c r="K57" s="22"/>
      <c r="L57" s="22"/>
      <c r="M57" s="22"/>
      <c r="N57" s="22"/>
      <c r="O57" s="22"/>
      <c r="P57" s="22"/>
      <c r="Q57" s="22"/>
      <c r="R57" s="22"/>
      <c r="S57" s="22"/>
      <c r="T57" s="22"/>
      <c r="U57" s="22"/>
      <c r="V57" s="22"/>
      <c r="W57" s="22"/>
      <c r="X57" s="22"/>
      <c r="Y57" s="22"/>
      <c r="Z57" s="22"/>
      <c r="AA57" s="22"/>
      <c r="AB57" s="22"/>
      <c r="AC57" s="22"/>
      <c r="AD57" s="22"/>
      <c r="AE57" s="22"/>
    </row>
    <row r="58">
      <c r="A58" s="17" t="s">
        <v>1824</v>
      </c>
      <c r="B58" s="167" t="str">
        <f>IF(ISBLANK(A58),"",VLOOKUP(A58,DOI_URL!$B$1:$C$74,2,FALSE()))</f>
        <v>https://drive.google.com/file/d/1z5TEaHnUuEv3unfZMg5FX14KyquGwiA5/view?usp=sharing</v>
      </c>
      <c r="C58" s="17" t="s">
        <v>3311</v>
      </c>
      <c r="D58" s="22"/>
      <c r="E58" s="17" t="s">
        <v>3647</v>
      </c>
      <c r="F58" s="22"/>
      <c r="G58" s="17" t="s">
        <v>1854</v>
      </c>
      <c r="H58" s="17" t="s">
        <v>1855</v>
      </c>
      <c r="I58" s="17" t="s">
        <v>39</v>
      </c>
      <c r="J58" s="17" t="s">
        <v>1826</v>
      </c>
      <c r="K58" s="22"/>
      <c r="L58" s="22"/>
      <c r="M58" s="22"/>
      <c r="N58" s="22"/>
      <c r="O58" s="22"/>
      <c r="P58" s="22"/>
      <c r="Q58" s="22"/>
      <c r="R58" s="22"/>
      <c r="S58" s="22"/>
      <c r="T58" s="22"/>
      <c r="U58" s="22"/>
      <c r="V58" s="22"/>
      <c r="W58" s="22"/>
      <c r="X58" s="22"/>
      <c r="Y58" s="22"/>
      <c r="Z58" s="22"/>
      <c r="AA58" s="22"/>
      <c r="AB58" s="22"/>
      <c r="AC58" s="22"/>
      <c r="AD58" s="22"/>
      <c r="AE58" s="22"/>
    </row>
    <row r="59">
      <c r="A59" s="17" t="s">
        <v>1824</v>
      </c>
      <c r="B59" s="167" t="str">
        <f>IF(ISBLANK(A59),"",VLOOKUP(A59,DOI_URL!$B$1:$C$74,2,FALSE()))</f>
        <v>https://drive.google.com/file/d/1z5TEaHnUuEv3unfZMg5FX14KyquGwiA5/view?usp=sharing</v>
      </c>
      <c r="C59" s="17" t="s">
        <v>3311</v>
      </c>
      <c r="D59" s="22"/>
      <c r="E59" s="17" t="s">
        <v>3648</v>
      </c>
      <c r="F59" s="22"/>
      <c r="G59" s="17" t="s">
        <v>934</v>
      </c>
      <c r="H59" s="17" t="s">
        <v>1385</v>
      </c>
      <c r="I59" s="17" t="s">
        <v>39</v>
      </c>
      <c r="J59" s="17" t="s">
        <v>1826</v>
      </c>
      <c r="K59" s="22"/>
      <c r="L59" s="22"/>
      <c r="M59" s="22"/>
      <c r="N59" s="22"/>
      <c r="O59" s="22"/>
      <c r="P59" s="22"/>
      <c r="Q59" s="22"/>
      <c r="R59" s="22"/>
      <c r="S59" s="22"/>
      <c r="T59" s="22"/>
      <c r="U59" s="22"/>
      <c r="V59" s="22"/>
      <c r="W59" s="22"/>
      <c r="X59" s="22"/>
      <c r="Y59" s="22"/>
      <c r="Z59" s="22"/>
      <c r="AA59" s="22"/>
      <c r="AB59" s="22"/>
      <c r="AC59" s="22"/>
      <c r="AD59" s="22"/>
      <c r="AE59" s="22"/>
    </row>
    <row r="60">
      <c r="A60" s="17" t="s">
        <v>1824</v>
      </c>
      <c r="B60" s="167" t="str">
        <f>IF(ISBLANK(A60),"",VLOOKUP(A60,DOI_URL!$B$1:$C$74,2,FALSE()))</f>
        <v>https://drive.google.com/file/d/1z5TEaHnUuEv3unfZMg5FX14KyquGwiA5/view?usp=sharing</v>
      </c>
      <c r="C60" s="17" t="s">
        <v>3311</v>
      </c>
      <c r="D60" s="22"/>
      <c r="E60" s="17" t="s">
        <v>3648</v>
      </c>
      <c r="F60" s="22"/>
      <c r="G60" s="17" t="s">
        <v>3103</v>
      </c>
      <c r="H60" s="17" t="s">
        <v>3104</v>
      </c>
      <c r="I60" s="17" t="s">
        <v>39</v>
      </c>
      <c r="J60" s="17" t="s">
        <v>1826</v>
      </c>
      <c r="K60" s="22"/>
      <c r="L60" s="22"/>
      <c r="M60" s="22"/>
      <c r="N60" s="22"/>
      <c r="O60" s="22"/>
      <c r="P60" s="22"/>
      <c r="Q60" s="22"/>
      <c r="R60" s="22"/>
      <c r="S60" s="22"/>
      <c r="T60" s="22"/>
      <c r="U60" s="22"/>
      <c r="V60" s="22"/>
      <c r="W60" s="22"/>
      <c r="X60" s="22"/>
      <c r="Y60" s="22"/>
      <c r="Z60" s="22"/>
      <c r="AA60" s="22"/>
      <c r="AB60" s="22"/>
      <c r="AC60" s="22"/>
      <c r="AD60" s="22"/>
      <c r="AE60" s="22"/>
    </row>
    <row r="61">
      <c r="A61" s="17" t="s">
        <v>1824</v>
      </c>
      <c r="B61" s="167" t="str">
        <f>IF(ISBLANK(A61),"",VLOOKUP(A61,DOI_URL!$B$1:$C$74,2,FALSE()))</f>
        <v>https://drive.google.com/file/d/1z5TEaHnUuEv3unfZMg5FX14KyquGwiA5/view?usp=sharing</v>
      </c>
      <c r="C61" s="17" t="s">
        <v>3311</v>
      </c>
      <c r="D61" s="22"/>
      <c r="E61" s="17" t="s">
        <v>3648</v>
      </c>
      <c r="F61" s="22"/>
      <c r="G61" s="17" t="s">
        <v>3108</v>
      </c>
      <c r="H61" s="17" t="s">
        <v>1385</v>
      </c>
      <c r="I61" s="17" t="s">
        <v>39</v>
      </c>
      <c r="J61" s="17" t="s">
        <v>1826</v>
      </c>
      <c r="K61" s="22"/>
      <c r="L61" s="22"/>
      <c r="M61" s="22"/>
      <c r="N61" s="22"/>
      <c r="O61" s="22"/>
      <c r="P61" s="22"/>
      <c r="Q61" s="22"/>
      <c r="R61" s="22"/>
      <c r="S61" s="22"/>
      <c r="T61" s="22"/>
      <c r="U61" s="22"/>
      <c r="V61" s="22"/>
      <c r="W61" s="22"/>
      <c r="X61" s="22"/>
      <c r="Y61" s="22"/>
      <c r="Z61" s="22"/>
      <c r="AA61" s="22"/>
      <c r="AB61" s="22"/>
      <c r="AC61" s="22"/>
      <c r="AD61" s="22"/>
      <c r="AE61" s="22"/>
    </row>
    <row r="62">
      <c r="A62" s="17" t="s">
        <v>1824</v>
      </c>
      <c r="B62" s="167" t="str">
        <f>IF(ISBLANK(A62),"",VLOOKUP(A62,DOI_URL!$B$1:$C$74,2,FALSE()))</f>
        <v>https://drive.google.com/file/d/1z5TEaHnUuEv3unfZMg5FX14KyquGwiA5/view?usp=sharing</v>
      </c>
      <c r="C62" s="17" t="s">
        <v>3311</v>
      </c>
      <c r="D62" s="22"/>
      <c r="E62" s="17" t="s">
        <v>3649</v>
      </c>
      <c r="F62" s="22"/>
      <c r="G62" s="17" t="s">
        <v>1860</v>
      </c>
      <c r="H62" s="17" t="s">
        <v>1861</v>
      </c>
      <c r="I62" s="17" t="s">
        <v>14</v>
      </c>
      <c r="J62" s="17" t="s">
        <v>1826</v>
      </c>
      <c r="K62" s="22"/>
      <c r="L62" s="22"/>
      <c r="M62" s="22"/>
      <c r="N62" s="22"/>
      <c r="O62" s="22"/>
      <c r="P62" s="22"/>
      <c r="Q62" s="22"/>
      <c r="R62" s="22"/>
      <c r="S62" s="22"/>
      <c r="T62" s="22"/>
      <c r="U62" s="22"/>
      <c r="V62" s="22"/>
      <c r="W62" s="22"/>
      <c r="X62" s="22"/>
      <c r="Y62" s="22"/>
      <c r="Z62" s="22"/>
      <c r="AA62" s="22"/>
      <c r="AB62" s="22"/>
      <c r="AC62" s="22"/>
      <c r="AD62" s="22"/>
      <c r="AE62" s="22"/>
    </row>
    <row r="63">
      <c r="A63" s="17" t="s">
        <v>1862</v>
      </c>
      <c r="B63" s="167" t="str">
        <f>IF(ISBLANK(A63),"",VLOOKUP(A63,DOI_URL!$B$1:$C$74,2,FALSE()))</f>
        <v>https://drive.google.com/file/d/1oJmu4XdoMJGdGWjTgc0iju1-OsEWVYbm/view?usp=sharing</v>
      </c>
      <c r="C63" s="17" t="s">
        <v>3311</v>
      </c>
      <c r="D63" s="22"/>
      <c r="E63" s="17" t="s">
        <v>3650</v>
      </c>
      <c r="F63" s="17" t="s">
        <v>1864</v>
      </c>
      <c r="G63" s="17" t="s">
        <v>1865</v>
      </c>
      <c r="H63" s="17" t="s">
        <v>3119</v>
      </c>
      <c r="I63" s="17" t="s">
        <v>2388</v>
      </c>
      <c r="J63" s="17" t="s">
        <v>1867</v>
      </c>
      <c r="K63" s="22"/>
      <c r="L63" s="22"/>
      <c r="M63" s="22"/>
      <c r="N63" s="22"/>
      <c r="O63" s="22"/>
      <c r="P63" s="22"/>
      <c r="Q63" s="22"/>
      <c r="R63" s="22"/>
      <c r="S63" s="22"/>
      <c r="T63" s="22"/>
      <c r="U63" s="22"/>
      <c r="V63" s="22"/>
      <c r="W63" s="22"/>
      <c r="X63" s="22"/>
      <c r="Y63" s="22"/>
      <c r="Z63" s="22"/>
      <c r="AA63" s="22"/>
      <c r="AB63" s="22"/>
      <c r="AC63" s="22"/>
      <c r="AD63" s="22"/>
      <c r="AE63" s="22"/>
    </row>
    <row r="64">
      <c r="A64" s="17" t="s">
        <v>1862</v>
      </c>
      <c r="B64" s="167" t="str">
        <f>IF(ISBLANK(A64),"",VLOOKUP(A64,DOI_URL!$B$1:$C$74,2,FALSE()))</f>
        <v>https://drive.google.com/file/d/1oJmu4XdoMJGdGWjTgc0iju1-OsEWVYbm/view?usp=sharing</v>
      </c>
      <c r="C64" s="17" t="s">
        <v>3311</v>
      </c>
      <c r="D64" s="22"/>
      <c r="E64" s="17" t="s">
        <v>3650</v>
      </c>
      <c r="F64" s="17" t="s">
        <v>1864</v>
      </c>
      <c r="G64" s="17" t="s">
        <v>1877</v>
      </c>
      <c r="H64" s="17" t="s">
        <v>3119</v>
      </c>
      <c r="I64" s="17" t="s">
        <v>14</v>
      </c>
      <c r="J64" s="17" t="s">
        <v>1867</v>
      </c>
      <c r="K64" s="22"/>
      <c r="L64" s="22"/>
      <c r="M64" s="22"/>
      <c r="N64" s="22"/>
      <c r="O64" s="22"/>
      <c r="P64" s="22"/>
      <c r="Q64" s="22"/>
      <c r="R64" s="22"/>
      <c r="S64" s="22"/>
      <c r="T64" s="22"/>
      <c r="U64" s="22"/>
      <c r="V64" s="22"/>
      <c r="W64" s="22"/>
      <c r="X64" s="22"/>
      <c r="Y64" s="22"/>
      <c r="Z64" s="22"/>
      <c r="AA64" s="22"/>
      <c r="AB64" s="22"/>
      <c r="AC64" s="22"/>
      <c r="AD64" s="22"/>
      <c r="AE64" s="22"/>
    </row>
    <row r="65">
      <c r="A65" s="17" t="s">
        <v>1862</v>
      </c>
      <c r="B65" s="167" t="str">
        <f>IF(ISBLANK(A65),"",VLOOKUP(A65,DOI_URL!$B$1:$C$74,2,FALSE()))</f>
        <v>https://drive.google.com/file/d/1oJmu4XdoMJGdGWjTgc0iju1-OsEWVYbm/view?usp=sharing</v>
      </c>
      <c r="C65" s="17" t="s">
        <v>3311</v>
      </c>
      <c r="D65" s="22"/>
      <c r="E65" s="17" t="s">
        <v>3651</v>
      </c>
      <c r="F65" s="17" t="s">
        <v>1864</v>
      </c>
      <c r="G65" s="17" t="s">
        <v>1869</v>
      </c>
      <c r="H65" s="17" t="s">
        <v>1870</v>
      </c>
      <c r="I65" s="17" t="s">
        <v>2388</v>
      </c>
      <c r="J65" s="17" t="s">
        <v>1867</v>
      </c>
      <c r="K65" s="22"/>
      <c r="L65" s="22"/>
      <c r="M65" s="22"/>
      <c r="N65" s="22"/>
      <c r="O65" s="22"/>
      <c r="P65" s="22"/>
      <c r="Q65" s="22"/>
      <c r="R65" s="22"/>
      <c r="S65" s="22"/>
      <c r="T65" s="22"/>
      <c r="U65" s="22"/>
      <c r="V65" s="22"/>
      <c r="W65" s="22"/>
      <c r="X65" s="22"/>
      <c r="Y65" s="22"/>
      <c r="Z65" s="22"/>
      <c r="AA65" s="22"/>
      <c r="AB65" s="22"/>
      <c r="AC65" s="22"/>
      <c r="AD65" s="22"/>
      <c r="AE65" s="22"/>
    </row>
    <row r="66">
      <c r="A66" s="17" t="s">
        <v>1862</v>
      </c>
      <c r="B66" s="167" t="str">
        <f>IF(ISBLANK(A66),"",VLOOKUP(A66,DOI_URL!$B$1:$C$74,2,FALSE()))</f>
        <v>https://drive.google.com/file/d/1oJmu4XdoMJGdGWjTgc0iju1-OsEWVYbm/view?usp=sharing</v>
      </c>
      <c r="C66" s="17" t="s">
        <v>3311</v>
      </c>
      <c r="D66" s="22"/>
      <c r="E66" s="17" t="s">
        <v>3652</v>
      </c>
      <c r="F66" s="17" t="s">
        <v>1872</v>
      </c>
      <c r="G66" s="17" t="s">
        <v>1873</v>
      </c>
      <c r="H66" s="17" t="s">
        <v>1874</v>
      </c>
      <c r="I66" s="17" t="s">
        <v>54</v>
      </c>
      <c r="J66" s="17" t="s">
        <v>1867</v>
      </c>
      <c r="K66" s="22"/>
      <c r="L66" s="22"/>
      <c r="M66" s="22"/>
      <c r="N66" s="22"/>
      <c r="O66" s="22"/>
      <c r="P66" s="22"/>
      <c r="Q66" s="22"/>
      <c r="R66" s="22"/>
      <c r="S66" s="22"/>
      <c r="T66" s="22"/>
      <c r="U66" s="22"/>
      <c r="V66" s="22"/>
      <c r="W66" s="22"/>
      <c r="X66" s="22"/>
      <c r="Y66" s="22"/>
      <c r="Z66" s="22"/>
      <c r="AA66" s="22"/>
      <c r="AB66" s="22"/>
      <c r="AC66" s="22"/>
      <c r="AD66" s="22"/>
      <c r="AE66" s="22"/>
    </row>
    <row r="67">
      <c r="A67" s="17" t="s">
        <v>1862</v>
      </c>
      <c r="B67" s="167" t="str">
        <f>IF(ISBLANK(A67),"",VLOOKUP(A67,DOI_URL!$B$1:$C$74,2,FALSE()))</f>
        <v>https://drive.google.com/file/d/1oJmu4XdoMJGdGWjTgc0iju1-OsEWVYbm/view?usp=sharing</v>
      </c>
      <c r="C67" s="17" t="s">
        <v>3311</v>
      </c>
      <c r="D67" s="22"/>
      <c r="E67" s="17" t="s">
        <v>3653</v>
      </c>
      <c r="F67" s="22"/>
      <c r="G67" s="17" t="s">
        <v>1728</v>
      </c>
      <c r="H67" s="17" t="s">
        <v>585</v>
      </c>
      <c r="I67" s="17" t="s">
        <v>54</v>
      </c>
      <c r="J67" s="17" t="s">
        <v>1867</v>
      </c>
      <c r="K67" s="22"/>
      <c r="L67" s="22"/>
      <c r="M67" s="22"/>
      <c r="N67" s="22"/>
      <c r="O67" s="22"/>
      <c r="P67" s="22"/>
      <c r="Q67" s="22"/>
      <c r="R67" s="22"/>
      <c r="S67" s="22"/>
      <c r="T67" s="22"/>
      <c r="U67" s="22"/>
      <c r="V67" s="22"/>
      <c r="W67" s="22"/>
      <c r="X67" s="22"/>
      <c r="Y67" s="22"/>
      <c r="Z67" s="22"/>
      <c r="AA67" s="22"/>
      <c r="AB67" s="22"/>
      <c r="AC67" s="22"/>
      <c r="AD67" s="22"/>
      <c r="AE67" s="22"/>
    </row>
    <row r="68">
      <c r="A68" s="17" t="s">
        <v>1862</v>
      </c>
      <c r="B68" s="167" t="str">
        <f>IF(ISBLANK(A68),"",VLOOKUP(A68,DOI_URL!$B$1:$C$74,2,FALSE()))</f>
        <v>https://drive.google.com/file/d/1oJmu4XdoMJGdGWjTgc0iju1-OsEWVYbm/view?usp=sharing</v>
      </c>
      <c r="C68" s="17" t="s">
        <v>3311</v>
      </c>
      <c r="D68" s="22"/>
      <c r="E68" s="17" t="s">
        <v>3654</v>
      </c>
      <c r="F68" s="17" t="s">
        <v>1864</v>
      </c>
      <c r="G68" s="17" t="s">
        <v>1880</v>
      </c>
      <c r="H68" s="17" t="s">
        <v>1016</v>
      </c>
      <c r="I68" s="17" t="s">
        <v>20</v>
      </c>
      <c r="J68" s="17" t="s">
        <v>1867</v>
      </c>
      <c r="K68" s="22"/>
      <c r="L68" s="22"/>
      <c r="M68" s="22"/>
      <c r="N68" s="22"/>
      <c r="O68" s="22"/>
      <c r="P68" s="22"/>
      <c r="Q68" s="22"/>
      <c r="R68" s="22"/>
      <c r="S68" s="22"/>
      <c r="T68" s="22"/>
      <c r="U68" s="22"/>
      <c r="V68" s="22"/>
      <c r="W68" s="22"/>
      <c r="X68" s="22"/>
      <c r="Y68" s="22"/>
      <c r="Z68" s="22"/>
      <c r="AA68" s="22"/>
      <c r="AB68" s="22"/>
      <c r="AC68" s="22"/>
      <c r="AD68" s="22"/>
      <c r="AE68" s="22"/>
    </row>
    <row r="69">
      <c r="A69" s="17" t="s">
        <v>1862</v>
      </c>
      <c r="B69" s="167" t="str">
        <f>IF(ISBLANK(A69),"",VLOOKUP(A69,DOI_URL!$B$1:$C$74,2,FALSE()))</f>
        <v>https://drive.google.com/file/d/1oJmu4XdoMJGdGWjTgc0iju1-OsEWVYbm/view?usp=sharing</v>
      </c>
      <c r="C69" s="17" t="s">
        <v>3311</v>
      </c>
      <c r="D69" s="22"/>
      <c r="E69" s="17" t="s">
        <v>3654</v>
      </c>
      <c r="F69" s="17" t="s">
        <v>1864</v>
      </c>
      <c r="G69" s="17" t="s">
        <v>46</v>
      </c>
      <c r="H69" s="17" t="s">
        <v>3120</v>
      </c>
      <c r="I69" s="17" t="s">
        <v>20</v>
      </c>
      <c r="J69" s="17" t="s">
        <v>1867</v>
      </c>
      <c r="K69" s="22"/>
      <c r="L69" s="22"/>
      <c r="M69" s="22"/>
      <c r="N69" s="22"/>
      <c r="O69" s="22"/>
      <c r="P69" s="22"/>
      <c r="Q69" s="22"/>
      <c r="R69" s="22"/>
      <c r="S69" s="22"/>
      <c r="T69" s="22"/>
      <c r="U69" s="22"/>
      <c r="V69" s="22"/>
      <c r="W69" s="22"/>
      <c r="X69" s="22"/>
      <c r="Y69" s="22"/>
      <c r="Z69" s="22"/>
      <c r="AA69" s="22"/>
      <c r="AB69" s="22"/>
      <c r="AC69" s="22"/>
      <c r="AD69" s="22"/>
      <c r="AE69" s="22"/>
    </row>
    <row r="70">
      <c r="A70" s="17" t="s">
        <v>1862</v>
      </c>
      <c r="B70" s="167" t="str">
        <f>IF(ISBLANK(A70),"",VLOOKUP(A70,DOI_URL!$B$1:$C$74,2,FALSE()))</f>
        <v>https://drive.google.com/file/d/1oJmu4XdoMJGdGWjTgc0iju1-OsEWVYbm/view?usp=sharing</v>
      </c>
      <c r="C70" s="17" t="s">
        <v>3311</v>
      </c>
      <c r="D70" s="22"/>
      <c r="E70" s="17" t="s">
        <v>3654</v>
      </c>
      <c r="F70" s="17" t="s">
        <v>1864</v>
      </c>
      <c r="G70" s="17" t="s">
        <v>1760</v>
      </c>
      <c r="H70" s="17" t="s">
        <v>1884</v>
      </c>
      <c r="I70" s="17" t="s">
        <v>20</v>
      </c>
      <c r="J70" s="17" t="s">
        <v>1867</v>
      </c>
      <c r="K70" s="22"/>
      <c r="L70" s="22"/>
      <c r="M70" s="22"/>
      <c r="N70" s="22"/>
      <c r="O70" s="22"/>
      <c r="P70" s="22"/>
      <c r="Q70" s="22"/>
      <c r="R70" s="22"/>
      <c r="S70" s="22"/>
      <c r="T70" s="22"/>
      <c r="U70" s="22"/>
      <c r="V70" s="22"/>
      <c r="W70" s="22"/>
      <c r="X70" s="22"/>
      <c r="Y70" s="22"/>
      <c r="Z70" s="22"/>
      <c r="AA70" s="22"/>
      <c r="AB70" s="22"/>
      <c r="AC70" s="22"/>
      <c r="AD70" s="22"/>
      <c r="AE70" s="22"/>
    </row>
    <row r="71">
      <c r="A71" s="17" t="s">
        <v>1862</v>
      </c>
      <c r="B71" s="167" t="str">
        <f>IF(ISBLANK(A71),"",VLOOKUP(A71,DOI_URL!$B$1:$C$74,2,FALSE()))</f>
        <v>https://drive.google.com/file/d/1oJmu4XdoMJGdGWjTgc0iju1-OsEWVYbm/view?usp=sharing</v>
      </c>
      <c r="C71" s="17" t="s">
        <v>3311</v>
      </c>
      <c r="D71" s="22"/>
      <c r="E71" s="17" t="s">
        <v>3654</v>
      </c>
      <c r="F71" s="17" t="s">
        <v>1864</v>
      </c>
      <c r="G71" s="17" t="s">
        <v>3121</v>
      </c>
      <c r="H71" s="17" t="s">
        <v>3122</v>
      </c>
      <c r="I71" s="17" t="s">
        <v>20</v>
      </c>
      <c r="J71" s="17" t="s">
        <v>1867</v>
      </c>
      <c r="K71" s="22"/>
      <c r="L71" s="22"/>
      <c r="M71" s="22"/>
      <c r="N71" s="22"/>
      <c r="O71" s="22"/>
      <c r="P71" s="22"/>
      <c r="Q71" s="22"/>
      <c r="R71" s="22"/>
      <c r="S71" s="22"/>
      <c r="T71" s="22"/>
      <c r="U71" s="22"/>
      <c r="V71" s="22"/>
      <c r="W71" s="22"/>
      <c r="X71" s="22"/>
      <c r="Y71" s="22"/>
      <c r="Z71" s="22"/>
      <c r="AA71" s="22"/>
      <c r="AB71" s="22"/>
      <c r="AC71" s="22"/>
      <c r="AD71" s="22"/>
      <c r="AE71" s="22"/>
    </row>
    <row r="72">
      <c r="A72" s="17" t="s">
        <v>1862</v>
      </c>
      <c r="B72" s="167" t="str">
        <f>IF(ISBLANK(A72),"",VLOOKUP(A72,DOI_URL!$B$1:$C$74,2,FALSE()))</f>
        <v>https://drive.google.com/file/d/1oJmu4XdoMJGdGWjTgc0iju1-OsEWVYbm/view?usp=sharing</v>
      </c>
      <c r="C72" s="17" t="s">
        <v>3311</v>
      </c>
      <c r="D72" s="22"/>
      <c r="E72" s="17" t="s">
        <v>3655</v>
      </c>
      <c r="F72" s="17" t="s">
        <v>1899</v>
      </c>
      <c r="G72" s="17" t="s">
        <v>1900</v>
      </c>
      <c r="H72" s="17" t="s">
        <v>358</v>
      </c>
      <c r="I72" s="17" t="s">
        <v>39</v>
      </c>
      <c r="J72" s="17" t="s">
        <v>1867</v>
      </c>
      <c r="K72" s="22"/>
      <c r="L72" s="22"/>
      <c r="M72" s="22"/>
      <c r="N72" s="22"/>
      <c r="O72" s="22"/>
      <c r="P72" s="22"/>
      <c r="Q72" s="22"/>
      <c r="R72" s="22"/>
      <c r="S72" s="22"/>
      <c r="T72" s="22"/>
      <c r="U72" s="22"/>
      <c r="V72" s="22"/>
      <c r="W72" s="22"/>
      <c r="X72" s="22"/>
      <c r="Y72" s="22"/>
      <c r="Z72" s="22"/>
      <c r="AA72" s="22"/>
      <c r="AB72" s="22"/>
      <c r="AC72" s="22"/>
      <c r="AD72" s="22"/>
      <c r="AE72" s="22"/>
    </row>
    <row r="73">
      <c r="A73" s="17" t="s">
        <v>1862</v>
      </c>
      <c r="B73" s="167" t="str">
        <f>IF(ISBLANK(A73),"",VLOOKUP(A73,DOI_URL!$B$1:$C$74,2,FALSE()))</f>
        <v>https://drive.google.com/file/d/1oJmu4XdoMJGdGWjTgc0iju1-OsEWVYbm/view?usp=sharing</v>
      </c>
      <c r="C73" s="17" t="s">
        <v>3311</v>
      </c>
      <c r="D73" s="22"/>
      <c r="E73" s="17" t="s">
        <v>3655</v>
      </c>
      <c r="F73" s="17" t="s">
        <v>1899</v>
      </c>
      <c r="G73" s="17" t="s">
        <v>3123</v>
      </c>
      <c r="H73" s="17" t="s">
        <v>358</v>
      </c>
      <c r="I73" s="17" t="s">
        <v>39</v>
      </c>
      <c r="J73" s="17" t="s">
        <v>1867</v>
      </c>
      <c r="K73" s="22"/>
      <c r="L73" s="22"/>
      <c r="M73" s="22"/>
      <c r="N73" s="22"/>
      <c r="O73" s="22"/>
      <c r="P73" s="22"/>
      <c r="Q73" s="22"/>
      <c r="R73" s="22"/>
      <c r="S73" s="22"/>
      <c r="T73" s="22"/>
      <c r="U73" s="22"/>
      <c r="V73" s="22"/>
      <c r="W73" s="22"/>
      <c r="X73" s="22"/>
      <c r="Y73" s="22"/>
      <c r="Z73" s="22"/>
      <c r="AA73" s="22"/>
      <c r="AB73" s="22"/>
      <c r="AC73" s="22"/>
      <c r="AD73" s="22"/>
      <c r="AE73" s="22"/>
    </row>
    <row r="74">
      <c r="A74" s="17" t="s">
        <v>1862</v>
      </c>
      <c r="B74" s="167" t="str">
        <f>IF(ISBLANK(A74),"",VLOOKUP(A74,DOI_URL!$B$1:$C$74,2,FALSE()))</f>
        <v>https://drive.google.com/file/d/1oJmu4XdoMJGdGWjTgc0iju1-OsEWVYbm/view?usp=sharing</v>
      </c>
      <c r="C74" s="17" t="s">
        <v>3311</v>
      </c>
      <c r="D74" s="17" t="s">
        <v>3309</v>
      </c>
      <c r="E74" s="17" t="s">
        <v>3655</v>
      </c>
      <c r="F74" s="22"/>
      <c r="G74" s="17" t="s">
        <v>3124</v>
      </c>
      <c r="H74" s="17" t="s">
        <v>358</v>
      </c>
      <c r="I74" s="17" t="s">
        <v>39</v>
      </c>
      <c r="J74" s="17" t="s">
        <v>1867</v>
      </c>
      <c r="K74" s="22"/>
      <c r="L74" s="22"/>
      <c r="M74" s="22"/>
      <c r="N74" s="22"/>
      <c r="O74" s="22"/>
      <c r="P74" s="22"/>
      <c r="Q74" s="22"/>
      <c r="R74" s="22"/>
      <c r="S74" s="22"/>
      <c r="T74" s="22"/>
      <c r="U74" s="22"/>
      <c r="V74" s="22"/>
      <c r="W74" s="22"/>
      <c r="X74" s="22"/>
      <c r="Y74" s="22"/>
      <c r="Z74" s="22"/>
      <c r="AA74" s="22"/>
      <c r="AB74" s="22"/>
      <c r="AC74" s="22"/>
      <c r="AD74" s="22"/>
      <c r="AE74" s="22"/>
    </row>
    <row r="75">
      <c r="A75" s="17" t="s">
        <v>1862</v>
      </c>
      <c r="B75" s="167" t="str">
        <f>IF(ISBLANK(A75),"",VLOOKUP(A75,DOI_URL!$B$1:$C$74,2,FALSE()))</f>
        <v>https://drive.google.com/file/d/1oJmu4XdoMJGdGWjTgc0iju1-OsEWVYbm/view?usp=sharing</v>
      </c>
      <c r="C75" s="17" t="s">
        <v>3311</v>
      </c>
      <c r="D75" s="22"/>
      <c r="E75" s="17" t="s">
        <v>3655</v>
      </c>
      <c r="F75" s="22"/>
      <c r="G75" s="35" t="s">
        <v>3656</v>
      </c>
      <c r="H75" s="17" t="s">
        <v>3126</v>
      </c>
      <c r="I75" s="17" t="s">
        <v>39</v>
      </c>
      <c r="J75" s="17" t="s">
        <v>1867</v>
      </c>
      <c r="K75" s="22"/>
      <c r="L75" s="22"/>
      <c r="M75" s="22"/>
      <c r="N75" s="22"/>
      <c r="O75" s="22"/>
      <c r="P75" s="22"/>
      <c r="Q75" s="22"/>
      <c r="R75" s="22"/>
      <c r="S75" s="22"/>
      <c r="T75" s="22"/>
      <c r="U75" s="22"/>
      <c r="V75" s="22"/>
      <c r="W75" s="22"/>
      <c r="X75" s="22"/>
      <c r="Y75" s="22"/>
      <c r="Z75" s="22"/>
      <c r="AA75" s="22"/>
      <c r="AB75" s="22"/>
      <c r="AC75" s="22"/>
      <c r="AD75" s="22"/>
      <c r="AE75" s="22"/>
    </row>
    <row r="76">
      <c r="A76" s="17" t="s">
        <v>1862</v>
      </c>
      <c r="B76" s="167" t="str">
        <f>IF(ISBLANK(A76),"",VLOOKUP(A76,DOI_URL!$B$1:$C$74,2,FALSE()))</f>
        <v>https://drive.google.com/file/d/1oJmu4XdoMJGdGWjTgc0iju1-OsEWVYbm/view?usp=sharing</v>
      </c>
      <c r="C76" s="17" t="s">
        <v>3311</v>
      </c>
      <c r="D76" s="17" t="s">
        <v>3309</v>
      </c>
      <c r="E76" s="17" t="s">
        <v>3657</v>
      </c>
      <c r="F76" s="22"/>
      <c r="G76" s="35" t="s">
        <v>3658</v>
      </c>
      <c r="H76" s="17" t="s">
        <v>541</v>
      </c>
      <c r="I76" s="17" t="s">
        <v>39</v>
      </c>
      <c r="J76" s="17" t="s">
        <v>1867</v>
      </c>
      <c r="K76" s="22"/>
      <c r="L76" s="22"/>
      <c r="M76" s="22"/>
      <c r="N76" s="22"/>
      <c r="O76" s="22"/>
      <c r="P76" s="22"/>
      <c r="Q76" s="22"/>
      <c r="R76" s="22"/>
      <c r="S76" s="22"/>
      <c r="T76" s="22"/>
      <c r="U76" s="22"/>
      <c r="V76" s="22"/>
      <c r="W76" s="22"/>
      <c r="X76" s="22"/>
      <c r="Y76" s="22"/>
      <c r="Z76" s="22"/>
      <c r="AA76" s="22"/>
      <c r="AB76" s="22"/>
      <c r="AC76" s="22"/>
      <c r="AD76" s="22"/>
      <c r="AE76" s="22"/>
    </row>
    <row r="77">
      <c r="A77" s="17" t="s">
        <v>1862</v>
      </c>
      <c r="B77" s="167" t="str">
        <f>IF(ISBLANK(A77),"",VLOOKUP(A77,DOI_URL!$B$1:$C$74,2,FALSE()))</f>
        <v>https://drive.google.com/file/d/1oJmu4XdoMJGdGWjTgc0iju1-OsEWVYbm/view?usp=sharing</v>
      </c>
      <c r="C77" s="17" t="s">
        <v>3311</v>
      </c>
      <c r="D77" s="22"/>
      <c r="E77" s="17" t="s">
        <v>3659</v>
      </c>
      <c r="F77" s="35" t="s">
        <v>3660</v>
      </c>
      <c r="G77" s="17" t="s">
        <v>1386</v>
      </c>
      <c r="H77" s="17" t="s">
        <v>1892</v>
      </c>
      <c r="I77" s="17" t="s">
        <v>39</v>
      </c>
      <c r="J77" s="17" t="s">
        <v>1867</v>
      </c>
      <c r="K77" s="22"/>
      <c r="L77" s="22"/>
      <c r="M77" s="22"/>
      <c r="N77" s="22"/>
      <c r="O77" s="22"/>
      <c r="P77" s="22"/>
      <c r="Q77" s="22"/>
      <c r="R77" s="22"/>
      <c r="S77" s="22"/>
      <c r="T77" s="22"/>
      <c r="U77" s="22"/>
      <c r="V77" s="22"/>
      <c r="W77" s="22"/>
      <c r="X77" s="22"/>
      <c r="Y77" s="22"/>
      <c r="Z77" s="22"/>
      <c r="AA77" s="22"/>
      <c r="AB77" s="22"/>
      <c r="AC77" s="22"/>
      <c r="AD77" s="22"/>
      <c r="AE77" s="22"/>
    </row>
    <row r="78">
      <c r="A78" s="17" t="s">
        <v>1862</v>
      </c>
      <c r="B78" s="167" t="str">
        <f>IF(ISBLANK(A78),"",VLOOKUP(A78,DOI_URL!$B$1:$C$74,2,FALSE()))</f>
        <v>https://drive.google.com/file/d/1oJmu4XdoMJGdGWjTgc0iju1-OsEWVYbm/view?usp=sharing</v>
      </c>
      <c r="C78" s="17" t="s">
        <v>3311</v>
      </c>
      <c r="D78" s="22"/>
      <c r="E78" s="17" t="s">
        <v>3659</v>
      </c>
      <c r="F78" s="35" t="s">
        <v>3660</v>
      </c>
      <c r="G78" s="17" t="s">
        <v>2392</v>
      </c>
      <c r="H78" s="17" t="s">
        <v>364</v>
      </c>
      <c r="I78" s="17" t="s">
        <v>39</v>
      </c>
      <c r="J78" s="17" t="s">
        <v>1867</v>
      </c>
      <c r="K78" s="22"/>
      <c r="L78" s="22"/>
      <c r="M78" s="22"/>
      <c r="N78" s="22"/>
      <c r="O78" s="22"/>
      <c r="P78" s="22"/>
      <c r="Q78" s="22"/>
      <c r="R78" s="22"/>
      <c r="S78" s="22"/>
      <c r="T78" s="22"/>
      <c r="U78" s="22"/>
      <c r="V78" s="22"/>
      <c r="W78" s="22"/>
      <c r="X78" s="22"/>
      <c r="Y78" s="22"/>
      <c r="Z78" s="22"/>
      <c r="AA78" s="22"/>
      <c r="AB78" s="22"/>
      <c r="AC78" s="22"/>
      <c r="AD78" s="22"/>
      <c r="AE78" s="22"/>
    </row>
    <row r="79">
      <c r="A79" s="17" t="s">
        <v>1862</v>
      </c>
      <c r="B79" s="167" t="str">
        <f>IF(ISBLANK(A79),"",VLOOKUP(A79,DOI_URL!$B$1:$C$74,2,FALSE()))</f>
        <v>https://drive.google.com/file/d/1oJmu4XdoMJGdGWjTgc0iju1-OsEWVYbm/view?usp=sharing</v>
      </c>
      <c r="C79" s="17" t="s">
        <v>3311</v>
      </c>
      <c r="D79" s="22"/>
      <c r="E79" s="17" t="s">
        <v>3659</v>
      </c>
      <c r="F79" s="35" t="s">
        <v>3660</v>
      </c>
      <c r="G79" s="17" t="s">
        <v>1386</v>
      </c>
      <c r="H79" s="17" t="s">
        <v>1896</v>
      </c>
      <c r="I79" s="17" t="s">
        <v>39</v>
      </c>
      <c r="J79" s="17" t="s">
        <v>1867</v>
      </c>
      <c r="K79" s="22"/>
      <c r="L79" s="22"/>
      <c r="M79" s="22"/>
      <c r="N79" s="22"/>
      <c r="O79" s="22"/>
      <c r="P79" s="22"/>
      <c r="Q79" s="22"/>
      <c r="R79" s="22"/>
      <c r="S79" s="22"/>
      <c r="T79" s="22"/>
      <c r="U79" s="22"/>
      <c r="V79" s="22"/>
      <c r="W79" s="22"/>
      <c r="X79" s="22"/>
      <c r="Y79" s="22"/>
      <c r="Z79" s="22"/>
      <c r="AA79" s="22"/>
      <c r="AB79" s="22"/>
      <c r="AC79" s="22"/>
      <c r="AD79" s="22"/>
      <c r="AE79" s="22"/>
    </row>
    <row r="80">
      <c r="A80" s="17" t="s">
        <v>587</v>
      </c>
      <c r="B80" s="167" t="str">
        <f>IF(ISBLANK(A80),"",VLOOKUP(A80,DOI_URL!$B$1:$C$74,2,FALSE()))</f>
        <v>https://drive.google.com/file/d/1nk8DK_uu5jRUPeeE5JsOaKFX0eXEUPe2/view?usp=sharing</v>
      </c>
      <c r="C80" s="17" t="s">
        <v>3311</v>
      </c>
      <c r="D80" s="22"/>
      <c r="E80" s="17" t="s">
        <v>2506</v>
      </c>
      <c r="F80" s="17" t="s">
        <v>2507</v>
      </c>
      <c r="G80" s="17" t="s">
        <v>593</v>
      </c>
      <c r="H80" s="17" t="s">
        <v>2508</v>
      </c>
      <c r="I80" s="17" t="s">
        <v>2388</v>
      </c>
      <c r="J80" s="17" t="s">
        <v>372</v>
      </c>
      <c r="K80" s="22"/>
      <c r="L80" s="22"/>
      <c r="M80" s="22"/>
      <c r="N80" s="22"/>
      <c r="O80" s="22"/>
      <c r="P80" s="22"/>
      <c r="Q80" s="22"/>
      <c r="R80" s="22"/>
      <c r="S80" s="22"/>
      <c r="T80" s="22"/>
      <c r="U80" s="22"/>
      <c r="V80" s="22"/>
      <c r="W80" s="22"/>
      <c r="X80" s="22"/>
      <c r="Y80" s="22"/>
      <c r="Z80" s="22"/>
      <c r="AA80" s="22"/>
      <c r="AB80" s="22"/>
      <c r="AC80" s="22"/>
      <c r="AD80" s="22"/>
      <c r="AE80" s="22"/>
    </row>
    <row r="81">
      <c r="A81" s="17" t="s">
        <v>516</v>
      </c>
      <c r="B81" s="167" t="str">
        <f>IF(ISBLANK(A81),"",VLOOKUP(A81,DOI_URL!$B$1:$C$74,2,FALSE()))</f>
        <v>https://drive.google.com/file/d/1fWVv7IxOr7m5mRMjsD2Pmzw6EQ48SIci/view?usp=sharing</v>
      </c>
      <c r="C81" s="17" t="s">
        <v>3311</v>
      </c>
      <c r="D81" s="22"/>
      <c r="E81" s="17" t="s">
        <v>2465</v>
      </c>
      <c r="F81" s="17" t="s">
        <v>2466</v>
      </c>
      <c r="G81" s="17" t="s">
        <v>2467</v>
      </c>
      <c r="H81" s="17" t="s">
        <v>2468</v>
      </c>
      <c r="I81" s="17" t="s">
        <v>2388</v>
      </c>
      <c r="J81" s="17" t="s">
        <v>521</v>
      </c>
      <c r="K81" s="22"/>
      <c r="L81" s="22"/>
      <c r="M81" s="22"/>
      <c r="N81" s="22"/>
      <c r="O81" s="22"/>
      <c r="P81" s="22"/>
      <c r="Q81" s="22"/>
      <c r="R81" s="22"/>
      <c r="S81" s="22"/>
      <c r="T81" s="22"/>
      <c r="U81" s="22"/>
      <c r="V81" s="22"/>
      <c r="W81" s="22"/>
      <c r="X81" s="22"/>
      <c r="Y81" s="22"/>
      <c r="Z81" s="22"/>
      <c r="AA81" s="22"/>
      <c r="AB81" s="22"/>
      <c r="AC81" s="22"/>
      <c r="AD81" s="22"/>
      <c r="AE81" s="22"/>
    </row>
    <row r="82">
      <c r="A82" s="17" t="s">
        <v>516</v>
      </c>
      <c r="B82" s="167" t="str">
        <f>IF(ISBLANK(A82),"",VLOOKUP(A82,DOI_URL!$B$1:$C$74,2,FALSE()))</f>
        <v>https://drive.google.com/file/d/1fWVv7IxOr7m5mRMjsD2Pmzw6EQ48SIci/view?usp=sharing</v>
      </c>
      <c r="C82" s="17" t="s">
        <v>3311</v>
      </c>
      <c r="D82" s="22"/>
      <c r="E82" s="17" t="s">
        <v>2470</v>
      </c>
      <c r="F82" s="17" t="s">
        <v>2466</v>
      </c>
      <c r="G82" s="17" t="s">
        <v>2471</v>
      </c>
      <c r="H82" s="17" t="s">
        <v>2472</v>
      </c>
      <c r="I82" s="17" t="s">
        <v>14</v>
      </c>
      <c r="J82" s="17" t="s">
        <v>521</v>
      </c>
      <c r="K82" s="22"/>
      <c r="L82" s="22"/>
      <c r="M82" s="22"/>
      <c r="N82" s="22"/>
      <c r="O82" s="22"/>
      <c r="P82" s="22"/>
      <c r="Q82" s="22"/>
      <c r="R82" s="22"/>
      <c r="S82" s="22"/>
      <c r="T82" s="22"/>
      <c r="U82" s="22"/>
      <c r="V82" s="22"/>
      <c r="W82" s="22"/>
      <c r="X82" s="22"/>
      <c r="Y82" s="22"/>
      <c r="Z82" s="22"/>
      <c r="AA82" s="22"/>
      <c r="AB82" s="22"/>
      <c r="AC82" s="22"/>
      <c r="AD82" s="22"/>
      <c r="AE82" s="22"/>
    </row>
    <row r="83">
      <c r="A83" s="17" t="s">
        <v>516</v>
      </c>
      <c r="B83" s="167" t="str">
        <f>IF(ISBLANK(A83),"",VLOOKUP(A83,DOI_URL!$B$1:$C$74,2,FALSE()))</f>
        <v>https://drive.google.com/file/d/1fWVv7IxOr7m5mRMjsD2Pmzw6EQ48SIci/view?usp=sharing</v>
      </c>
      <c r="C83" s="17" t="s">
        <v>3311</v>
      </c>
      <c r="D83" s="22"/>
      <c r="E83" s="17" t="s">
        <v>2474</v>
      </c>
      <c r="F83" s="22"/>
      <c r="G83" s="17" t="s">
        <v>2392</v>
      </c>
      <c r="H83" s="17" t="s">
        <v>364</v>
      </c>
      <c r="I83" s="17" t="s">
        <v>39</v>
      </c>
      <c r="J83" s="17" t="s">
        <v>521</v>
      </c>
      <c r="K83" s="22"/>
      <c r="L83" s="22"/>
      <c r="M83" s="22"/>
      <c r="N83" s="22"/>
      <c r="O83" s="22"/>
      <c r="P83" s="22"/>
      <c r="Q83" s="22"/>
      <c r="R83" s="22"/>
      <c r="S83" s="22"/>
      <c r="T83" s="22"/>
      <c r="U83" s="22"/>
      <c r="V83" s="22"/>
      <c r="W83" s="22"/>
      <c r="X83" s="22"/>
      <c r="Y83" s="22"/>
      <c r="Z83" s="22"/>
      <c r="AA83" s="22"/>
      <c r="AB83" s="22"/>
      <c r="AC83" s="22"/>
      <c r="AD83" s="22"/>
      <c r="AE83" s="22"/>
    </row>
    <row r="84">
      <c r="A84" s="17" t="s">
        <v>516</v>
      </c>
      <c r="B84" s="167" t="str">
        <f>IF(ISBLANK(A84),"",VLOOKUP(A84,DOI_URL!$B$1:$C$74,2,FALSE()))</f>
        <v>https://drive.google.com/file/d/1fWVv7IxOr7m5mRMjsD2Pmzw6EQ48SIci/view?usp=sharing</v>
      </c>
      <c r="C84" s="17" t="s">
        <v>3311</v>
      </c>
      <c r="D84" s="22"/>
      <c r="E84" s="17" t="s">
        <v>2476</v>
      </c>
      <c r="F84" s="22"/>
      <c r="G84" s="17" t="s">
        <v>357</v>
      </c>
      <c r="H84" s="35" t="s">
        <v>358</v>
      </c>
      <c r="I84" s="17" t="s">
        <v>39</v>
      </c>
      <c r="J84" s="17" t="s">
        <v>521</v>
      </c>
      <c r="K84" s="22"/>
      <c r="L84" s="22"/>
      <c r="M84" s="22"/>
      <c r="N84" s="22"/>
      <c r="O84" s="22"/>
      <c r="P84" s="22"/>
      <c r="Q84" s="22"/>
      <c r="R84" s="22"/>
      <c r="S84" s="22"/>
      <c r="T84" s="22"/>
      <c r="U84" s="22"/>
      <c r="V84" s="22"/>
      <c r="W84" s="22"/>
      <c r="X84" s="22"/>
      <c r="Y84" s="22"/>
      <c r="Z84" s="22"/>
      <c r="AA84" s="22"/>
      <c r="AB84" s="22"/>
      <c r="AC84" s="22"/>
      <c r="AD84" s="22"/>
      <c r="AE84" s="22"/>
    </row>
    <row r="85">
      <c r="A85" s="17" t="s">
        <v>516</v>
      </c>
      <c r="B85" s="167" t="str">
        <f>IF(ISBLANK(A85),"",VLOOKUP(A85,DOI_URL!$B$1:$C$74,2,FALSE()))</f>
        <v>https://drive.google.com/file/d/1fWVv7IxOr7m5mRMjsD2Pmzw6EQ48SIci/view?usp=sharing</v>
      </c>
      <c r="C85" s="17" t="s">
        <v>3311</v>
      </c>
      <c r="D85" s="22"/>
      <c r="E85" s="17" t="s">
        <v>2476</v>
      </c>
      <c r="F85" s="22"/>
      <c r="G85" s="17" t="s">
        <v>2477</v>
      </c>
      <c r="H85" s="35" t="s">
        <v>358</v>
      </c>
      <c r="I85" s="17" t="s">
        <v>39</v>
      </c>
      <c r="J85" s="17" t="s">
        <v>521</v>
      </c>
      <c r="K85" s="22"/>
      <c r="L85" s="22"/>
      <c r="M85" s="22"/>
      <c r="N85" s="22"/>
      <c r="O85" s="22"/>
      <c r="P85" s="22"/>
      <c r="Q85" s="22"/>
      <c r="R85" s="22"/>
      <c r="S85" s="22"/>
      <c r="T85" s="22"/>
      <c r="U85" s="22"/>
      <c r="V85" s="22"/>
      <c r="W85" s="22"/>
      <c r="X85" s="22"/>
      <c r="Y85" s="22"/>
      <c r="Z85" s="22"/>
      <c r="AA85" s="22"/>
      <c r="AB85" s="22"/>
      <c r="AC85" s="22"/>
      <c r="AD85" s="22"/>
      <c r="AE85" s="22"/>
    </row>
    <row r="86">
      <c r="A86" s="17" t="s">
        <v>516</v>
      </c>
      <c r="B86" s="167" t="str">
        <f>IF(ISBLANK(A86),"",VLOOKUP(A86,DOI_URL!$B$1:$C$74,2,FALSE()))</f>
        <v>https://drive.google.com/file/d/1fWVv7IxOr7m5mRMjsD2Pmzw6EQ48SIci/view?usp=sharing</v>
      </c>
      <c r="C86" s="17" t="s">
        <v>3311</v>
      </c>
      <c r="D86" s="22"/>
      <c r="E86" s="17" t="s">
        <v>539</v>
      </c>
      <c r="F86" s="22"/>
      <c r="G86" s="17" t="s">
        <v>540</v>
      </c>
      <c r="H86" s="17" t="s">
        <v>541</v>
      </c>
      <c r="I86" s="17" t="s">
        <v>39</v>
      </c>
      <c r="J86" s="17" t="s">
        <v>521</v>
      </c>
      <c r="K86" s="22"/>
      <c r="L86" s="22"/>
      <c r="M86" s="22"/>
      <c r="N86" s="22"/>
      <c r="O86" s="22"/>
      <c r="P86" s="22"/>
      <c r="Q86" s="22"/>
      <c r="R86" s="22"/>
      <c r="S86" s="22"/>
      <c r="T86" s="22"/>
      <c r="U86" s="22"/>
      <c r="V86" s="22"/>
      <c r="W86" s="22"/>
      <c r="X86" s="22"/>
      <c r="Y86" s="22"/>
      <c r="Z86" s="22"/>
      <c r="AA86" s="22"/>
      <c r="AB86" s="22"/>
      <c r="AC86" s="22"/>
      <c r="AD86" s="22"/>
      <c r="AE86" s="22"/>
    </row>
    <row r="87">
      <c r="A87" s="17" t="s">
        <v>957</v>
      </c>
      <c r="B87" s="167" t="str">
        <f>IF(ISBLANK(A87),"",VLOOKUP(A87,DOI_URL!$B$1:$C$74,2,FALSE()))</f>
        <v>https://drive.google.com/file/d/1bfMF0N1lwW9T-NVTC37xfEZUGPKXJxJY/view?usp=sharing</v>
      </c>
      <c r="C87" s="17" t="s">
        <v>3311</v>
      </c>
      <c r="D87" s="22"/>
      <c r="E87" s="17" t="s">
        <v>3661</v>
      </c>
      <c r="F87" s="17" t="s">
        <v>959</v>
      </c>
      <c r="G87" s="17" t="s">
        <v>960</v>
      </c>
      <c r="H87" s="17" t="s">
        <v>961</v>
      </c>
      <c r="I87" s="17" t="s">
        <v>106</v>
      </c>
      <c r="J87" s="17" t="s">
        <v>962</v>
      </c>
      <c r="K87" s="22"/>
      <c r="L87" s="22"/>
      <c r="M87" s="22"/>
      <c r="N87" s="22"/>
      <c r="O87" s="22"/>
      <c r="P87" s="22"/>
      <c r="Q87" s="22"/>
      <c r="R87" s="22"/>
      <c r="S87" s="22"/>
      <c r="T87" s="22"/>
      <c r="U87" s="22"/>
      <c r="V87" s="22"/>
      <c r="W87" s="22"/>
      <c r="X87" s="22"/>
      <c r="Y87" s="22"/>
      <c r="Z87" s="22"/>
      <c r="AA87" s="22"/>
      <c r="AB87" s="22"/>
      <c r="AC87" s="22"/>
      <c r="AD87" s="22"/>
      <c r="AE87" s="22"/>
    </row>
    <row r="88">
      <c r="A88" s="17" t="s">
        <v>957</v>
      </c>
      <c r="B88" s="167" t="str">
        <f>IF(ISBLANK(A88),"",VLOOKUP(A88,DOI_URL!$B$1:$C$74,2,FALSE()))</f>
        <v>https://drive.google.com/file/d/1bfMF0N1lwW9T-NVTC37xfEZUGPKXJxJY/view?usp=sharing</v>
      </c>
      <c r="C88" s="17" t="s">
        <v>3311</v>
      </c>
      <c r="D88" s="22"/>
      <c r="E88" s="17" t="s">
        <v>3662</v>
      </c>
      <c r="F88" s="17" t="s">
        <v>964</v>
      </c>
      <c r="G88" s="17" t="s">
        <v>965</v>
      </c>
      <c r="H88" s="17" t="s">
        <v>2675</v>
      </c>
      <c r="I88" s="17" t="s">
        <v>106</v>
      </c>
      <c r="J88" s="17" t="s">
        <v>962</v>
      </c>
      <c r="K88" s="22"/>
      <c r="L88" s="22"/>
      <c r="M88" s="22"/>
      <c r="N88" s="22"/>
      <c r="O88" s="22"/>
      <c r="P88" s="22"/>
      <c r="Q88" s="22"/>
      <c r="R88" s="22"/>
      <c r="S88" s="22"/>
      <c r="T88" s="22"/>
      <c r="U88" s="22"/>
      <c r="V88" s="22"/>
      <c r="W88" s="22"/>
      <c r="X88" s="22"/>
      <c r="Y88" s="22"/>
      <c r="Z88" s="22"/>
      <c r="AA88" s="22"/>
      <c r="AB88" s="22"/>
      <c r="AC88" s="22"/>
      <c r="AD88" s="22"/>
      <c r="AE88" s="22"/>
    </row>
    <row r="89">
      <c r="A89" s="17" t="s">
        <v>957</v>
      </c>
      <c r="B89" s="167" t="str">
        <f>IF(ISBLANK(A89),"",VLOOKUP(A89,DOI_URL!$B$1:$C$74,2,FALSE()))</f>
        <v>https://drive.google.com/file/d/1bfMF0N1lwW9T-NVTC37xfEZUGPKXJxJY/view?usp=sharing</v>
      </c>
      <c r="C89" s="17" t="s">
        <v>3311</v>
      </c>
      <c r="D89" s="22"/>
      <c r="E89" s="17" t="s">
        <v>3662</v>
      </c>
      <c r="F89" s="17" t="s">
        <v>964</v>
      </c>
      <c r="G89" s="17" t="s">
        <v>968</v>
      </c>
      <c r="H89" s="22"/>
      <c r="I89" s="17" t="s">
        <v>54</v>
      </c>
      <c r="J89" s="17" t="s">
        <v>962</v>
      </c>
      <c r="K89" s="22"/>
      <c r="L89" s="22"/>
      <c r="M89" s="22"/>
      <c r="N89" s="22"/>
      <c r="O89" s="22"/>
      <c r="P89" s="22"/>
      <c r="Q89" s="22"/>
      <c r="R89" s="22"/>
      <c r="S89" s="22"/>
      <c r="T89" s="22"/>
      <c r="U89" s="22"/>
      <c r="V89" s="22"/>
      <c r="W89" s="22"/>
      <c r="X89" s="22"/>
      <c r="Y89" s="22"/>
      <c r="Z89" s="22"/>
      <c r="AA89" s="22"/>
      <c r="AB89" s="22"/>
      <c r="AC89" s="22"/>
      <c r="AD89" s="22"/>
      <c r="AE89" s="22"/>
    </row>
    <row r="90">
      <c r="A90" s="17" t="s">
        <v>957</v>
      </c>
      <c r="B90" s="167" t="str">
        <f>IF(ISBLANK(A90),"",VLOOKUP(A90,DOI_URL!$B$1:$C$74,2,FALSE()))</f>
        <v>https://drive.google.com/file/d/1bfMF0N1lwW9T-NVTC37xfEZUGPKXJxJY/view?usp=sharing</v>
      </c>
      <c r="C90" s="17" t="s">
        <v>3311</v>
      </c>
      <c r="D90" s="22"/>
      <c r="E90" s="17" t="s">
        <v>3662</v>
      </c>
      <c r="F90" s="17" t="s">
        <v>969</v>
      </c>
      <c r="G90" s="17" t="s">
        <v>970</v>
      </c>
      <c r="H90" s="17" t="s">
        <v>358</v>
      </c>
      <c r="I90" s="17" t="s">
        <v>54</v>
      </c>
      <c r="J90" s="17" t="s">
        <v>962</v>
      </c>
      <c r="K90" s="22"/>
      <c r="L90" s="22"/>
      <c r="M90" s="22"/>
      <c r="N90" s="22"/>
      <c r="O90" s="22"/>
      <c r="P90" s="22"/>
      <c r="Q90" s="22"/>
      <c r="R90" s="22"/>
      <c r="S90" s="22"/>
      <c r="T90" s="22"/>
      <c r="U90" s="22"/>
      <c r="V90" s="22"/>
      <c r="W90" s="22"/>
      <c r="X90" s="22"/>
      <c r="Y90" s="22"/>
      <c r="Z90" s="22"/>
      <c r="AA90" s="22"/>
      <c r="AB90" s="22"/>
      <c r="AC90" s="22"/>
      <c r="AD90" s="22"/>
      <c r="AE90" s="22"/>
    </row>
    <row r="91">
      <c r="A91" s="17" t="s">
        <v>957</v>
      </c>
      <c r="B91" s="167" t="str">
        <f>IF(ISBLANK(A91),"",VLOOKUP(A91,DOI_URL!$B$1:$C$74,2,FALSE()))</f>
        <v>https://drive.google.com/file/d/1bfMF0N1lwW9T-NVTC37xfEZUGPKXJxJY/view?usp=sharing</v>
      </c>
      <c r="C91" s="17" t="s">
        <v>3311</v>
      </c>
      <c r="D91" s="22"/>
      <c r="E91" s="17" t="s">
        <v>3662</v>
      </c>
      <c r="F91" s="17" t="s">
        <v>964</v>
      </c>
      <c r="G91" s="17" t="s">
        <v>971</v>
      </c>
      <c r="H91" s="17" t="s">
        <v>972</v>
      </c>
      <c r="I91" s="17" t="s">
        <v>54</v>
      </c>
      <c r="J91" s="17" t="s">
        <v>962</v>
      </c>
      <c r="K91" s="22"/>
      <c r="L91" s="22"/>
      <c r="M91" s="22"/>
      <c r="N91" s="22"/>
      <c r="O91" s="22"/>
      <c r="P91" s="22"/>
      <c r="Q91" s="22"/>
      <c r="R91" s="22"/>
      <c r="S91" s="22"/>
      <c r="T91" s="22"/>
      <c r="U91" s="22"/>
      <c r="V91" s="22"/>
      <c r="W91" s="22"/>
      <c r="X91" s="22"/>
      <c r="Y91" s="22"/>
      <c r="Z91" s="22"/>
      <c r="AA91" s="22"/>
      <c r="AB91" s="22"/>
      <c r="AC91" s="22"/>
      <c r="AD91" s="22"/>
      <c r="AE91" s="22"/>
    </row>
    <row r="92">
      <c r="A92" s="17" t="s">
        <v>875</v>
      </c>
      <c r="B92" s="167" t="str">
        <f>IF(ISBLANK(A92),"",VLOOKUP(A92,DOI_URL!$B$1:$C$74,2,FALSE()))</f>
        <v>https://drive.google.com/file/d/1PTPvJA7ZjcblZUOeskCoCQ0j7ILEaJ3d/view?usp=sharing</v>
      </c>
      <c r="C92" s="17" t="s">
        <v>3311</v>
      </c>
      <c r="D92" s="22"/>
      <c r="E92" s="17" t="s">
        <v>3663</v>
      </c>
      <c r="F92" s="17" t="s">
        <v>877</v>
      </c>
      <c r="G92" s="17" t="s">
        <v>2652</v>
      </c>
      <c r="H92" s="17" t="s">
        <v>2653</v>
      </c>
      <c r="I92" s="17" t="s">
        <v>20</v>
      </c>
      <c r="J92" s="17" t="s">
        <v>880</v>
      </c>
      <c r="K92" s="22"/>
      <c r="L92" s="22"/>
      <c r="M92" s="22"/>
      <c r="N92" s="22"/>
      <c r="O92" s="22"/>
      <c r="P92" s="22"/>
      <c r="Q92" s="22"/>
      <c r="R92" s="22"/>
      <c r="S92" s="22"/>
      <c r="T92" s="22"/>
      <c r="U92" s="22"/>
      <c r="V92" s="22"/>
      <c r="W92" s="22"/>
      <c r="X92" s="22"/>
      <c r="Y92" s="22"/>
      <c r="Z92" s="22"/>
      <c r="AA92" s="22"/>
      <c r="AB92" s="22"/>
      <c r="AC92" s="22"/>
      <c r="AD92" s="22"/>
      <c r="AE92" s="22"/>
    </row>
    <row r="93">
      <c r="A93" s="17" t="s">
        <v>875</v>
      </c>
      <c r="B93" s="167" t="str">
        <f>IF(ISBLANK(A93),"",VLOOKUP(A93,DOI_URL!$B$1:$C$74,2,FALSE()))</f>
        <v>https://drive.google.com/file/d/1PTPvJA7ZjcblZUOeskCoCQ0j7ILEaJ3d/view?usp=sharing</v>
      </c>
      <c r="C93" s="17" t="s">
        <v>3311</v>
      </c>
      <c r="D93" s="22"/>
      <c r="E93" s="17" t="s">
        <v>3664</v>
      </c>
      <c r="F93" s="17" t="s">
        <v>877</v>
      </c>
      <c r="G93" s="17" t="s">
        <v>885</v>
      </c>
      <c r="H93" s="17" t="s">
        <v>886</v>
      </c>
      <c r="I93" s="17" t="s">
        <v>20</v>
      </c>
      <c r="J93" s="17" t="s">
        <v>880</v>
      </c>
      <c r="K93" s="22"/>
      <c r="L93" s="22"/>
      <c r="M93" s="22"/>
      <c r="N93" s="22"/>
      <c r="O93" s="22"/>
      <c r="P93" s="22"/>
      <c r="Q93" s="22"/>
      <c r="R93" s="22"/>
      <c r="S93" s="22"/>
      <c r="T93" s="22"/>
      <c r="U93" s="22"/>
      <c r="V93" s="22"/>
      <c r="W93" s="22"/>
      <c r="X93" s="22"/>
      <c r="Y93" s="22"/>
      <c r="Z93" s="22"/>
      <c r="AA93" s="22"/>
      <c r="AB93" s="22"/>
      <c r="AC93" s="22"/>
      <c r="AD93" s="22"/>
      <c r="AE93" s="22"/>
    </row>
    <row r="94">
      <c r="A94" s="17" t="s">
        <v>875</v>
      </c>
      <c r="B94" s="167" t="str">
        <f>IF(ISBLANK(A94),"",VLOOKUP(A94,DOI_URL!$B$1:$C$74,2,FALSE()))</f>
        <v>https://drive.google.com/file/d/1PTPvJA7ZjcblZUOeskCoCQ0j7ILEaJ3d/view?usp=sharing</v>
      </c>
      <c r="C94" s="17" t="s">
        <v>3311</v>
      </c>
      <c r="D94" s="22"/>
      <c r="E94" s="17" t="s">
        <v>3664</v>
      </c>
      <c r="F94" s="17" t="s">
        <v>877</v>
      </c>
      <c r="G94" s="17" t="s">
        <v>2654</v>
      </c>
      <c r="H94" s="22"/>
      <c r="I94" s="17" t="s">
        <v>20</v>
      </c>
      <c r="J94" s="17" t="s">
        <v>880</v>
      </c>
      <c r="K94" s="22"/>
      <c r="L94" s="22"/>
      <c r="M94" s="22"/>
      <c r="N94" s="22"/>
      <c r="O94" s="22"/>
      <c r="P94" s="22"/>
      <c r="Q94" s="22"/>
      <c r="R94" s="22"/>
      <c r="S94" s="22"/>
      <c r="T94" s="22"/>
      <c r="U94" s="22"/>
      <c r="V94" s="22"/>
      <c r="W94" s="22"/>
      <c r="X94" s="22"/>
      <c r="Y94" s="22"/>
      <c r="Z94" s="22"/>
      <c r="AA94" s="22"/>
      <c r="AB94" s="22"/>
      <c r="AC94" s="22"/>
      <c r="AD94" s="22"/>
      <c r="AE94" s="22"/>
    </row>
    <row r="95">
      <c r="A95" s="17" t="s">
        <v>875</v>
      </c>
      <c r="B95" s="167" t="str">
        <f>IF(ISBLANK(A95),"",VLOOKUP(A95,DOI_URL!$B$1:$C$74,2,FALSE()))</f>
        <v>https://drive.google.com/file/d/1PTPvJA7ZjcblZUOeskCoCQ0j7ILEaJ3d/view?usp=sharing</v>
      </c>
      <c r="C95" s="17" t="s">
        <v>3311</v>
      </c>
      <c r="D95" s="22"/>
      <c r="E95" s="17" t="s">
        <v>3664</v>
      </c>
      <c r="F95" s="17" t="s">
        <v>877</v>
      </c>
      <c r="G95" s="17" t="s">
        <v>889</v>
      </c>
      <c r="H95" s="17" t="s">
        <v>890</v>
      </c>
      <c r="I95" s="17" t="s">
        <v>20</v>
      </c>
      <c r="J95" s="17" t="s">
        <v>880</v>
      </c>
      <c r="K95" s="22"/>
      <c r="L95" s="22"/>
      <c r="M95" s="22"/>
      <c r="N95" s="22"/>
      <c r="O95" s="22"/>
      <c r="P95" s="22"/>
      <c r="Q95" s="22"/>
      <c r="R95" s="22"/>
      <c r="S95" s="22"/>
      <c r="T95" s="22"/>
      <c r="U95" s="22"/>
      <c r="V95" s="22"/>
      <c r="W95" s="22"/>
      <c r="X95" s="22"/>
      <c r="Y95" s="22"/>
      <c r="Z95" s="22"/>
      <c r="AA95" s="22"/>
      <c r="AB95" s="22"/>
      <c r="AC95" s="22"/>
      <c r="AD95" s="22"/>
      <c r="AE95" s="22"/>
    </row>
    <row r="96">
      <c r="A96" s="17" t="s">
        <v>875</v>
      </c>
      <c r="B96" s="167" t="str">
        <f>IF(ISBLANK(A96),"",VLOOKUP(A96,DOI_URL!$B$1:$C$74,2,FALSE()))</f>
        <v>https://drive.google.com/file/d/1PTPvJA7ZjcblZUOeskCoCQ0j7ILEaJ3d/view?usp=sharing</v>
      </c>
      <c r="C96" s="17" t="s">
        <v>3311</v>
      </c>
      <c r="D96" s="22"/>
      <c r="E96" s="17" t="s">
        <v>3665</v>
      </c>
      <c r="F96" s="17" t="s">
        <v>877</v>
      </c>
      <c r="G96" s="66" t="s">
        <v>2657</v>
      </c>
      <c r="H96" s="22"/>
      <c r="I96" s="17" t="s">
        <v>20</v>
      </c>
      <c r="J96" s="17" t="s">
        <v>880</v>
      </c>
      <c r="K96" s="22"/>
      <c r="L96" s="22"/>
      <c r="M96" s="22"/>
      <c r="N96" s="22"/>
      <c r="O96" s="22"/>
      <c r="P96" s="22"/>
      <c r="Q96" s="22"/>
      <c r="R96" s="22"/>
      <c r="S96" s="22"/>
      <c r="T96" s="22"/>
      <c r="U96" s="22"/>
      <c r="V96" s="22"/>
      <c r="W96" s="22"/>
      <c r="X96" s="22"/>
      <c r="Y96" s="22"/>
      <c r="Z96" s="22"/>
      <c r="AA96" s="22"/>
      <c r="AB96" s="22"/>
      <c r="AC96" s="22"/>
      <c r="AD96" s="22"/>
      <c r="AE96" s="22"/>
    </row>
    <row r="97">
      <c r="A97" s="17" t="s">
        <v>875</v>
      </c>
      <c r="B97" s="167" t="str">
        <f>IF(ISBLANK(A97),"",VLOOKUP(A97,DOI_URL!$B$1:$C$74,2,FALSE()))</f>
        <v>https://drive.google.com/file/d/1PTPvJA7ZjcblZUOeskCoCQ0j7ILEaJ3d/view?usp=sharing</v>
      </c>
      <c r="C97" s="17" t="s">
        <v>3311</v>
      </c>
      <c r="D97" s="22"/>
      <c r="E97" s="17" t="s">
        <v>3666</v>
      </c>
      <c r="F97" s="17" t="s">
        <v>877</v>
      </c>
      <c r="G97" s="17" t="s">
        <v>895</v>
      </c>
      <c r="H97" s="17" t="s">
        <v>896</v>
      </c>
      <c r="I97" s="17" t="s">
        <v>20</v>
      </c>
      <c r="J97" s="17" t="s">
        <v>880</v>
      </c>
      <c r="K97" s="22"/>
      <c r="L97" s="22"/>
      <c r="M97" s="22"/>
      <c r="N97" s="22"/>
      <c r="O97" s="22"/>
      <c r="P97" s="22"/>
      <c r="Q97" s="22"/>
      <c r="R97" s="22"/>
      <c r="S97" s="22"/>
      <c r="T97" s="22"/>
      <c r="U97" s="22"/>
      <c r="V97" s="22"/>
      <c r="W97" s="22"/>
      <c r="X97" s="22"/>
      <c r="Y97" s="22"/>
      <c r="Z97" s="22"/>
      <c r="AA97" s="22"/>
      <c r="AB97" s="22"/>
      <c r="AC97" s="22"/>
      <c r="AD97" s="22"/>
      <c r="AE97" s="22"/>
    </row>
    <row r="98">
      <c r="A98" s="17" t="s">
        <v>875</v>
      </c>
      <c r="B98" s="167" t="str">
        <f>IF(ISBLANK(A98),"",VLOOKUP(A98,DOI_URL!$B$1:$C$74,2,FALSE()))</f>
        <v>https://drive.google.com/file/d/1PTPvJA7ZjcblZUOeskCoCQ0j7ILEaJ3d/view?usp=sharing</v>
      </c>
      <c r="C98" s="17" t="s">
        <v>3311</v>
      </c>
      <c r="D98" s="22"/>
      <c r="E98" s="17" t="s">
        <v>3667</v>
      </c>
      <c r="F98" s="17" t="s">
        <v>899</v>
      </c>
      <c r="G98" s="17" t="s">
        <v>2660</v>
      </c>
      <c r="H98" s="22"/>
      <c r="I98" s="17" t="s">
        <v>44</v>
      </c>
      <c r="J98" s="17" t="s">
        <v>880</v>
      </c>
      <c r="K98" s="22"/>
      <c r="L98" s="22"/>
      <c r="M98" s="22"/>
      <c r="N98" s="22"/>
      <c r="O98" s="22"/>
      <c r="P98" s="22"/>
      <c r="Q98" s="22"/>
      <c r="R98" s="22"/>
      <c r="S98" s="22"/>
      <c r="T98" s="22"/>
      <c r="U98" s="22"/>
      <c r="V98" s="22"/>
      <c r="W98" s="22"/>
      <c r="X98" s="22"/>
      <c r="Y98" s="22"/>
      <c r="Z98" s="22"/>
      <c r="AA98" s="22"/>
      <c r="AB98" s="22"/>
      <c r="AC98" s="22"/>
      <c r="AD98" s="22"/>
      <c r="AE98" s="22"/>
    </row>
    <row r="99">
      <c r="A99" s="17" t="s">
        <v>875</v>
      </c>
      <c r="B99" s="167" t="str">
        <f>IF(ISBLANK(A99),"",VLOOKUP(A99,DOI_URL!$B$1:$C$74,2,FALSE()))</f>
        <v>https://drive.google.com/file/d/1PTPvJA7ZjcblZUOeskCoCQ0j7ILEaJ3d/view?usp=sharing</v>
      </c>
      <c r="C99" s="17" t="s">
        <v>3311</v>
      </c>
      <c r="D99" s="22"/>
      <c r="E99" s="17" t="s">
        <v>3668</v>
      </c>
      <c r="F99" s="17" t="s">
        <v>899</v>
      </c>
      <c r="G99" s="17" t="s">
        <v>2662</v>
      </c>
      <c r="H99" s="17" t="s">
        <v>905</v>
      </c>
      <c r="I99" s="17" t="s">
        <v>2388</v>
      </c>
      <c r="J99" s="17" t="s">
        <v>880</v>
      </c>
      <c r="K99" s="22"/>
      <c r="L99" s="22"/>
      <c r="M99" s="22"/>
      <c r="N99" s="22"/>
      <c r="O99" s="22"/>
      <c r="P99" s="22"/>
      <c r="Q99" s="22"/>
      <c r="R99" s="22"/>
      <c r="S99" s="22"/>
      <c r="T99" s="22"/>
      <c r="U99" s="22"/>
      <c r="V99" s="22"/>
      <c r="W99" s="22"/>
      <c r="X99" s="22"/>
      <c r="Y99" s="22"/>
      <c r="Z99" s="22"/>
      <c r="AA99" s="22"/>
      <c r="AB99" s="22"/>
      <c r="AC99" s="22"/>
      <c r="AD99" s="22"/>
      <c r="AE99" s="22"/>
    </row>
    <row r="100">
      <c r="A100" s="17" t="s">
        <v>875</v>
      </c>
      <c r="B100" s="167" t="str">
        <f>IF(ISBLANK(A100),"",VLOOKUP(A100,DOI_URL!$B$1:$C$74,2,FALSE()))</f>
        <v>https://drive.google.com/file/d/1PTPvJA7ZjcblZUOeskCoCQ0j7ILEaJ3d/view?usp=sharing</v>
      </c>
      <c r="C100" s="17" t="s">
        <v>3311</v>
      </c>
      <c r="D100" s="22"/>
      <c r="E100" s="17" t="s">
        <v>3669</v>
      </c>
      <c r="F100" s="17" t="s">
        <v>907</v>
      </c>
      <c r="G100" s="17" t="s">
        <v>908</v>
      </c>
      <c r="H100" s="22"/>
      <c r="I100" s="17" t="s">
        <v>54</v>
      </c>
      <c r="J100" s="17" t="s">
        <v>880</v>
      </c>
      <c r="K100" s="22"/>
      <c r="L100" s="22"/>
      <c r="M100" s="22"/>
      <c r="N100" s="22"/>
      <c r="O100" s="22"/>
      <c r="P100" s="22"/>
      <c r="Q100" s="22"/>
      <c r="R100" s="22"/>
      <c r="S100" s="22"/>
      <c r="T100" s="22"/>
      <c r="U100" s="22"/>
      <c r="V100" s="22"/>
      <c r="W100" s="22"/>
      <c r="X100" s="22"/>
      <c r="Y100" s="22"/>
      <c r="Z100" s="22"/>
      <c r="AA100" s="22"/>
      <c r="AB100" s="22"/>
      <c r="AC100" s="22"/>
      <c r="AD100" s="22"/>
      <c r="AE100" s="22"/>
    </row>
    <row r="101">
      <c r="A101" s="17" t="s">
        <v>875</v>
      </c>
      <c r="B101" s="167" t="str">
        <f>IF(ISBLANK(A101),"",VLOOKUP(A101,DOI_URL!$B$1:$C$74,2,FALSE()))</f>
        <v>https://drive.google.com/file/d/1PTPvJA7ZjcblZUOeskCoCQ0j7ILEaJ3d/view?usp=sharing</v>
      </c>
      <c r="C101" s="17" t="s">
        <v>3311</v>
      </c>
      <c r="D101" s="22"/>
      <c r="E101" s="17" t="s">
        <v>3670</v>
      </c>
      <c r="F101" s="17" t="s">
        <v>914</v>
      </c>
      <c r="G101" s="17" t="s">
        <v>915</v>
      </c>
      <c r="H101" s="17" t="s">
        <v>916</v>
      </c>
      <c r="I101" s="17" t="s">
        <v>39</v>
      </c>
      <c r="J101" s="17" t="s">
        <v>880</v>
      </c>
      <c r="K101" s="22"/>
      <c r="L101" s="22"/>
      <c r="M101" s="22"/>
      <c r="N101" s="22"/>
      <c r="O101" s="22"/>
      <c r="P101" s="22"/>
      <c r="Q101" s="22"/>
      <c r="R101" s="22"/>
      <c r="S101" s="22"/>
      <c r="T101" s="22"/>
      <c r="U101" s="22"/>
      <c r="V101" s="22"/>
      <c r="W101" s="22"/>
      <c r="X101" s="22"/>
      <c r="Y101" s="22"/>
      <c r="Z101" s="22"/>
      <c r="AA101" s="22"/>
      <c r="AB101" s="22"/>
      <c r="AC101" s="22"/>
      <c r="AD101" s="22"/>
      <c r="AE101" s="22"/>
    </row>
    <row r="102">
      <c r="A102" s="17" t="s">
        <v>875</v>
      </c>
      <c r="B102" s="167" t="str">
        <f>IF(ISBLANK(A102),"",VLOOKUP(A102,DOI_URL!$B$1:$C$74,2,FALSE()))</f>
        <v>https://drive.google.com/file/d/1PTPvJA7ZjcblZUOeskCoCQ0j7ILEaJ3d/view?usp=sharing</v>
      </c>
      <c r="C102" s="17" t="s">
        <v>3311</v>
      </c>
      <c r="D102" s="22"/>
      <c r="E102" s="17" t="s">
        <v>3671</v>
      </c>
      <c r="F102" s="35" t="s">
        <v>3672</v>
      </c>
      <c r="G102" s="35" t="s">
        <v>3673</v>
      </c>
      <c r="H102" s="17" t="s">
        <v>364</v>
      </c>
      <c r="I102" s="17" t="s">
        <v>39</v>
      </c>
      <c r="J102" s="17" t="s">
        <v>880</v>
      </c>
      <c r="K102" s="22"/>
      <c r="L102" s="22"/>
      <c r="M102" s="22"/>
      <c r="N102" s="22"/>
      <c r="O102" s="22"/>
      <c r="P102" s="22"/>
      <c r="Q102" s="22"/>
      <c r="R102" s="22"/>
      <c r="S102" s="22"/>
      <c r="T102" s="22"/>
      <c r="U102" s="22"/>
      <c r="V102" s="22"/>
      <c r="W102" s="22"/>
      <c r="X102" s="22"/>
      <c r="Y102" s="22"/>
      <c r="Z102" s="22"/>
      <c r="AA102" s="22"/>
      <c r="AB102" s="22"/>
      <c r="AC102" s="22"/>
      <c r="AD102" s="22"/>
      <c r="AE102" s="22"/>
    </row>
    <row r="103">
      <c r="A103" s="17" t="s">
        <v>875</v>
      </c>
      <c r="B103" s="167" t="str">
        <f>IF(ISBLANK(A103),"",VLOOKUP(A103,DOI_URL!$B$1:$C$74,2,FALSE()))</f>
        <v>https://drive.google.com/file/d/1PTPvJA7ZjcblZUOeskCoCQ0j7ILEaJ3d/view?usp=sharing</v>
      </c>
      <c r="C103" s="17" t="s">
        <v>3311</v>
      </c>
      <c r="D103" s="22"/>
      <c r="E103" s="17" t="s">
        <v>3674</v>
      </c>
      <c r="F103" s="22"/>
      <c r="G103" s="17" t="s">
        <v>921</v>
      </c>
      <c r="H103" s="35" t="s">
        <v>3675</v>
      </c>
      <c r="I103" s="17" t="s">
        <v>39</v>
      </c>
      <c r="J103" s="17" t="s">
        <v>880</v>
      </c>
      <c r="K103" s="22"/>
      <c r="L103" s="22"/>
      <c r="M103" s="22"/>
      <c r="N103" s="22"/>
      <c r="O103" s="22"/>
      <c r="P103" s="22"/>
      <c r="Q103" s="22"/>
      <c r="R103" s="22"/>
      <c r="S103" s="22"/>
      <c r="T103" s="22"/>
      <c r="U103" s="22"/>
      <c r="V103" s="22"/>
      <c r="W103" s="22"/>
      <c r="X103" s="22"/>
      <c r="Y103" s="22"/>
      <c r="Z103" s="22"/>
      <c r="AA103" s="22"/>
      <c r="AB103" s="22"/>
      <c r="AC103" s="22"/>
      <c r="AD103" s="22"/>
      <c r="AE103" s="22"/>
    </row>
    <row r="104">
      <c r="A104" s="17" t="s">
        <v>875</v>
      </c>
      <c r="B104" s="167" t="str">
        <f>IF(ISBLANK(A104),"",VLOOKUP(A104,DOI_URL!$B$1:$C$74,2,FALSE()))</f>
        <v>https://drive.google.com/file/d/1PTPvJA7ZjcblZUOeskCoCQ0j7ILEaJ3d/view?usp=sharing</v>
      </c>
      <c r="C104" s="17" t="s">
        <v>3311</v>
      </c>
      <c r="D104" s="22"/>
      <c r="E104" s="17" t="s">
        <v>3676</v>
      </c>
      <c r="F104" s="22"/>
      <c r="G104" s="17" t="s">
        <v>923</v>
      </c>
      <c r="H104" s="17" t="s">
        <v>585</v>
      </c>
      <c r="I104" s="22"/>
      <c r="J104" s="17" t="s">
        <v>880</v>
      </c>
      <c r="K104" s="22"/>
      <c r="L104" s="22"/>
      <c r="M104" s="22"/>
      <c r="N104" s="22"/>
      <c r="O104" s="22"/>
      <c r="P104" s="22"/>
      <c r="Q104" s="22"/>
      <c r="R104" s="22"/>
      <c r="S104" s="22"/>
      <c r="T104" s="22"/>
      <c r="U104" s="22"/>
      <c r="V104" s="22"/>
      <c r="W104" s="22"/>
      <c r="X104" s="22"/>
      <c r="Y104" s="22"/>
      <c r="Z104" s="22"/>
      <c r="AA104" s="22"/>
      <c r="AB104" s="22"/>
      <c r="AC104" s="22"/>
      <c r="AD104" s="22"/>
      <c r="AE104" s="22"/>
    </row>
    <row r="105">
      <c r="A105" s="17" t="s">
        <v>875</v>
      </c>
      <c r="B105" s="167" t="str">
        <f>IF(ISBLANK(A105),"",VLOOKUP(A105,DOI_URL!$B$1:$C$74,2,FALSE()))</f>
        <v>https://drive.google.com/file/d/1PTPvJA7ZjcblZUOeskCoCQ0j7ILEaJ3d/view?usp=sharing</v>
      </c>
      <c r="C105" s="17" t="s">
        <v>3311</v>
      </c>
      <c r="D105" s="22"/>
      <c r="E105" s="17" t="s">
        <v>3677</v>
      </c>
      <c r="F105" s="17" t="s">
        <v>926</v>
      </c>
      <c r="G105" s="17" t="s">
        <v>927</v>
      </c>
      <c r="H105" s="17" t="s">
        <v>928</v>
      </c>
      <c r="I105" s="17" t="s">
        <v>14</v>
      </c>
      <c r="J105" s="17" t="s">
        <v>880</v>
      </c>
      <c r="K105" s="22"/>
      <c r="L105" s="22"/>
      <c r="M105" s="22"/>
      <c r="N105" s="22"/>
      <c r="O105" s="22"/>
      <c r="P105" s="22"/>
      <c r="Q105" s="22"/>
      <c r="R105" s="22"/>
      <c r="S105" s="22"/>
      <c r="T105" s="22"/>
      <c r="U105" s="22"/>
      <c r="V105" s="22"/>
      <c r="W105" s="22"/>
      <c r="X105" s="22"/>
      <c r="Y105" s="22"/>
      <c r="Z105" s="22"/>
      <c r="AA105" s="22"/>
      <c r="AB105" s="22"/>
      <c r="AC105" s="22"/>
      <c r="AD105" s="22"/>
      <c r="AE105" s="22"/>
    </row>
    <row r="106">
      <c r="A106" s="17" t="s">
        <v>875</v>
      </c>
      <c r="B106" s="167" t="str">
        <f>IF(ISBLANK(A106),"",VLOOKUP(A106,DOI_URL!$B$1:$C$74,2,FALSE()))</f>
        <v>https://drive.google.com/file/d/1PTPvJA7ZjcblZUOeskCoCQ0j7ILEaJ3d/view?usp=sharing</v>
      </c>
      <c r="C106" s="17" t="s">
        <v>3311</v>
      </c>
      <c r="D106" s="22"/>
      <c r="E106" s="17" t="s">
        <v>3677</v>
      </c>
      <c r="F106" s="17" t="s">
        <v>929</v>
      </c>
      <c r="G106" s="17" t="s">
        <v>930</v>
      </c>
      <c r="H106" s="17" t="s">
        <v>931</v>
      </c>
      <c r="I106" s="17" t="s">
        <v>2388</v>
      </c>
      <c r="J106" s="17" t="s">
        <v>880</v>
      </c>
      <c r="K106" s="22"/>
      <c r="L106" s="22"/>
      <c r="M106" s="22"/>
      <c r="N106" s="22"/>
      <c r="O106" s="22"/>
      <c r="P106" s="22"/>
      <c r="Q106" s="22"/>
      <c r="R106" s="22"/>
      <c r="S106" s="22"/>
      <c r="T106" s="22"/>
      <c r="U106" s="22"/>
      <c r="V106" s="22"/>
      <c r="W106" s="22"/>
      <c r="X106" s="22"/>
      <c r="Y106" s="22"/>
      <c r="Z106" s="22"/>
      <c r="AA106" s="22"/>
      <c r="AB106" s="22"/>
      <c r="AC106" s="22"/>
      <c r="AD106" s="22"/>
      <c r="AE106" s="22"/>
    </row>
    <row r="107">
      <c r="A107" s="17" t="s">
        <v>875</v>
      </c>
      <c r="B107" s="167" t="str">
        <f>IF(ISBLANK(A107),"",VLOOKUP(A107,DOI_URL!$B$1:$C$74,2,FALSE()))</f>
        <v>https://drive.google.com/file/d/1PTPvJA7ZjcblZUOeskCoCQ0j7ILEaJ3d/view?usp=sharing</v>
      </c>
      <c r="C107" s="17" t="s">
        <v>3311</v>
      </c>
      <c r="D107" s="22"/>
      <c r="E107" s="17" t="s">
        <v>3678</v>
      </c>
      <c r="F107" s="17" t="s">
        <v>929</v>
      </c>
      <c r="G107" s="17" t="s">
        <v>933</v>
      </c>
      <c r="H107" s="35" t="s">
        <v>358</v>
      </c>
      <c r="I107" s="17" t="s">
        <v>39</v>
      </c>
      <c r="J107" s="17" t="s">
        <v>880</v>
      </c>
      <c r="K107" s="22"/>
      <c r="L107" s="22"/>
      <c r="M107" s="22"/>
      <c r="N107" s="22"/>
      <c r="O107" s="22"/>
      <c r="P107" s="22"/>
      <c r="Q107" s="22"/>
      <c r="R107" s="22"/>
      <c r="S107" s="22"/>
      <c r="T107" s="22"/>
      <c r="U107" s="22"/>
      <c r="V107" s="22"/>
      <c r="W107" s="22"/>
      <c r="X107" s="22"/>
      <c r="Y107" s="22"/>
      <c r="Z107" s="22"/>
      <c r="AA107" s="22"/>
      <c r="AB107" s="22"/>
      <c r="AC107" s="22"/>
      <c r="AD107" s="22"/>
      <c r="AE107" s="22"/>
    </row>
    <row r="108">
      <c r="A108" s="17" t="s">
        <v>875</v>
      </c>
      <c r="B108" s="167" t="str">
        <f>IF(ISBLANK(A108),"",VLOOKUP(A108,DOI_URL!$B$1:$C$74,2,FALSE()))</f>
        <v>https://drive.google.com/file/d/1PTPvJA7ZjcblZUOeskCoCQ0j7ILEaJ3d/view?usp=sharing</v>
      </c>
      <c r="C108" s="17" t="s">
        <v>3311</v>
      </c>
      <c r="D108" s="22"/>
      <c r="E108" s="17" t="s">
        <v>3678</v>
      </c>
      <c r="F108" s="35" t="s">
        <v>3672</v>
      </c>
      <c r="G108" s="17" t="s">
        <v>934</v>
      </c>
      <c r="H108" s="35" t="s">
        <v>3679</v>
      </c>
      <c r="I108" s="17" t="s">
        <v>39</v>
      </c>
      <c r="J108" s="17" t="s">
        <v>880</v>
      </c>
      <c r="K108" s="22"/>
      <c r="L108" s="22"/>
      <c r="M108" s="22"/>
      <c r="N108" s="22"/>
      <c r="O108" s="22"/>
      <c r="P108" s="22"/>
      <c r="Q108" s="22"/>
      <c r="R108" s="22"/>
      <c r="S108" s="22"/>
      <c r="T108" s="22"/>
      <c r="U108" s="22"/>
      <c r="V108" s="22"/>
      <c r="W108" s="22"/>
      <c r="X108" s="22"/>
      <c r="Y108" s="22"/>
      <c r="Z108" s="22"/>
      <c r="AA108" s="22"/>
      <c r="AB108" s="22"/>
      <c r="AC108" s="22"/>
      <c r="AD108" s="22"/>
      <c r="AE108" s="22"/>
    </row>
    <row r="109">
      <c r="A109" s="17" t="s">
        <v>1289</v>
      </c>
      <c r="B109" s="167" t="str">
        <f>IF(ISBLANK(A109),"",VLOOKUP(A109,DOI_URL!$B$1:$C$74,2,FALSE()))</f>
        <v>https://drive.google.com/file/d/1HocRZd0etZTgQwmnCrUYVDlF_XsJJBuy/view?usp=sharing</v>
      </c>
      <c r="C109" s="17" t="s">
        <v>3311</v>
      </c>
      <c r="D109" s="22"/>
      <c r="E109" s="17" t="s">
        <v>2819</v>
      </c>
      <c r="F109" s="22"/>
      <c r="G109" s="17" t="s">
        <v>1291</v>
      </c>
      <c r="H109" s="17" t="s">
        <v>585</v>
      </c>
      <c r="I109" s="17" t="s">
        <v>2388</v>
      </c>
      <c r="J109" s="17" t="s">
        <v>1292</v>
      </c>
      <c r="K109" s="22"/>
      <c r="L109" s="22"/>
      <c r="M109" s="22"/>
      <c r="N109" s="22"/>
      <c r="O109" s="22"/>
      <c r="P109" s="22"/>
      <c r="Q109" s="22"/>
      <c r="R109" s="22"/>
      <c r="S109" s="22"/>
      <c r="T109" s="22"/>
      <c r="U109" s="22"/>
      <c r="V109" s="22"/>
      <c r="W109" s="22"/>
      <c r="X109" s="22"/>
      <c r="Y109" s="22"/>
      <c r="Z109" s="22"/>
      <c r="AA109" s="22"/>
      <c r="AB109" s="22"/>
      <c r="AC109" s="22"/>
      <c r="AD109" s="22"/>
      <c r="AE109" s="22"/>
    </row>
    <row r="110">
      <c r="A110" s="17" t="s">
        <v>1289</v>
      </c>
      <c r="B110" s="167" t="str">
        <f>IF(ISBLANK(A110),"",VLOOKUP(A110,DOI_URL!$B$1:$C$74,2,FALSE()))</f>
        <v>https://drive.google.com/file/d/1HocRZd0etZTgQwmnCrUYVDlF_XsJJBuy/view?usp=sharing</v>
      </c>
      <c r="C110" s="17" t="s">
        <v>3311</v>
      </c>
      <c r="D110" s="22"/>
      <c r="E110" s="17" t="s">
        <v>2820</v>
      </c>
      <c r="F110" s="22"/>
      <c r="G110" s="17" t="s">
        <v>1294</v>
      </c>
      <c r="H110" s="17" t="s">
        <v>1295</v>
      </c>
      <c r="I110" s="17" t="s">
        <v>2388</v>
      </c>
      <c r="J110" s="17" t="s">
        <v>1292</v>
      </c>
      <c r="K110" s="22"/>
      <c r="L110" s="22"/>
      <c r="M110" s="22"/>
      <c r="N110" s="22"/>
      <c r="O110" s="22"/>
      <c r="P110" s="22"/>
      <c r="Q110" s="22"/>
      <c r="R110" s="22"/>
      <c r="S110" s="22"/>
      <c r="T110" s="22"/>
      <c r="U110" s="22"/>
      <c r="V110" s="22"/>
      <c r="W110" s="22"/>
      <c r="X110" s="22"/>
      <c r="Y110" s="22"/>
      <c r="Z110" s="22"/>
      <c r="AA110" s="22"/>
      <c r="AB110" s="22"/>
      <c r="AC110" s="22"/>
      <c r="AD110" s="22"/>
      <c r="AE110" s="22"/>
    </row>
    <row r="111">
      <c r="A111" s="17" t="s">
        <v>1289</v>
      </c>
      <c r="B111" s="167" t="str">
        <f>IF(ISBLANK(A111),"",VLOOKUP(A111,DOI_URL!$B$1:$C$74,2,FALSE()))</f>
        <v>https://drive.google.com/file/d/1HocRZd0etZTgQwmnCrUYVDlF_XsJJBuy/view?usp=sharing</v>
      </c>
      <c r="C111" s="17" t="s">
        <v>3311</v>
      </c>
      <c r="D111" s="22"/>
      <c r="E111" s="17" t="s">
        <v>2821</v>
      </c>
      <c r="F111" s="35" t="s">
        <v>3672</v>
      </c>
      <c r="G111" s="35" t="s">
        <v>3680</v>
      </c>
      <c r="H111" s="17" t="s">
        <v>364</v>
      </c>
      <c r="I111" s="17" t="s">
        <v>39</v>
      </c>
      <c r="J111" s="17" t="s">
        <v>1292</v>
      </c>
      <c r="K111" s="22"/>
      <c r="L111" s="22"/>
      <c r="M111" s="22"/>
      <c r="N111" s="22"/>
      <c r="O111" s="22"/>
      <c r="P111" s="22"/>
      <c r="Q111" s="22"/>
      <c r="R111" s="22"/>
      <c r="S111" s="22"/>
      <c r="T111" s="22"/>
      <c r="U111" s="22"/>
      <c r="V111" s="22"/>
      <c r="W111" s="22"/>
      <c r="X111" s="22"/>
      <c r="Y111" s="22"/>
      <c r="Z111" s="22"/>
      <c r="AA111" s="22"/>
      <c r="AB111" s="22"/>
      <c r="AC111" s="22"/>
      <c r="AD111" s="22"/>
      <c r="AE111" s="22"/>
    </row>
    <row r="112">
      <c r="A112" s="17" t="s">
        <v>1289</v>
      </c>
      <c r="B112" s="167" t="str">
        <f>IF(ISBLANK(A112),"",VLOOKUP(A112,DOI_URL!$B$1:$C$74,2,FALSE()))</f>
        <v>https://drive.google.com/file/d/1HocRZd0etZTgQwmnCrUYVDlF_XsJJBuy/view?usp=sharing</v>
      </c>
      <c r="C112" s="17" t="s">
        <v>3311</v>
      </c>
      <c r="D112" s="22"/>
      <c r="E112" s="17" t="s">
        <v>2822</v>
      </c>
      <c r="F112" s="35" t="s">
        <v>3672</v>
      </c>
      <c r="G112" s="17" t="s">
        <v>357</v>
      </c>
      <c r="H112" s="35" t="s">
        <v>358</v>
      </c>
      <c r="I112" s="17" t="s">
        <v>39</v>
      </c>
      <c r="J112" s="17" t="s">
        <v>1292</v>
      </c>
      <c r="K112" s="22"/>
      <c r="L112" s="22"/>
      <c r="M112" s="22"/>
      <c r="N112" s="22"/>
      <c r="O112" s="22"/>
      <c r="P112" s="22"/>
      <c r="Q112" s="22"/>
      <c r="R112" s="22"/>
      <c r="S112" s="22"/>
      <c r="T112" s="22"/>
      <c r="U112" s="22"/>
      <c r="V112" s="22"/>
      <c r="W112" s="22"/>
      <c r="X112" s="22"/>
      <c r="Y112" s="22"/>
      <c r="Z112" s="22"/>
      <c r="AA112" s="22"/>
      <c r="AB112" s="22"/>
      <c r="AC112" s="22"/>
      <c r="AD112" s="22"/>
      <c r="AE112" s="22"/>
    </row>
    <row r="113">
      <c r="A113" s="17" t="s">
        <v>1289</v>
      </c>
      <c r="B113" s="167" t="str">
        <f>IF(ISBLANK(A113),"",VLOOKUP(A113,DOI_URL!$B$1:$C$74,2,FALSE()))</f>
        <v>https://drive.google.com/file/d/1HocRZd0etZTgQwmnCrUYVDlF_XsJJBuy/view?usp=sharing</v>
      </c>
      <c r="C113" s="17" t="s">
        <v>3311</v>
      </c>
      <c r="D113" s="22"/>
      <c r="E113" s="17" t="s">
        <v>2823</v>
      </c>
      <c r="F113" s="35" t="s">
        <v>3672</v>
      </c>
      <c r="G113" s="17" t="s">
        <v>934</v>
      </c>
      <c r="H113" s="35" t="s">
        <v>3675</v>
      </c>
      <c r="I113" s="17" t="s">
        <v>39</v>
      </c>
      <c r="J113" s="17" t="s">
        <v>1292</v>
      </c>
      <c r="K113" s="22"/>
      <c r="L113" s="22"/>
      <c r="M113" s="22"/>
      <c r="N113" s="22"/>
      <c r="O113" s="22"/>
      <c r="P113" s="22"/>
      <c r="Q113" s="22"/>
      <c r="R113" s="22"/>
      <c r="S113" s="22"/>
      <c r="T113" s="22"/>
      <c r="U113" s="22"/>
      <c r="V113" s="22"/>
      <c r="W113" s="22"/>
      <c r="X113" s="22"/>
      <c r="Y113" s="22"/>
      <c r="Z113" s="22"/>
      <c r="AA113" s="22"/>
      <c r="AB113" s="22"/>
      <c r="AC113" s="22"/>
      <c r="AD113" s="22"/>
      <c r="AE113" s="22"/>
    </row>
    <row r="114">
      <c r="A114" s="17" t="s">
        <v>1901</v>
      </c>
      <c r="B114" s="167" t="str">
        <f>IF(ISBLANK(A114),"",VLOOKUP(A114,DOI_URL!$B$1:$C$74,2,FALSE()))</f>
        <v>https://drive.google.com/file/d/1Y1OQI3P21GvJPl17uBvMJXKeFU-SR0wk/view?usp=sharing</v>
      </c>
      <c r="C114" s="22" t="s">
        <v>3311</v>
      </c>
      <c r="D114" s="22"/>
      <c r="E114" s="22" t="s">
        <v>3152</v>
      </c>
      <c r="F114" s="22"/>
      <c r="G114" s="22" t="s">
        <v>3153</v>
      </c>
      <c r="H114" s="22" t="s">
        <v>3154</v>
      </c>
      <c r="I114" s="22" t="s">
        <v>14</v>
      </c>
      <c r="J114" s="17" t="s">
        <v>806</v>
      </c>
      <c r="K114" s="22"/>
      <c r="L114" s="22"/>
      <c r="M114" s="22"/>
      <c r="N114" s="22"/>
      <c r="O114" s="22"/>
      <c r="P114" s="22"/>
      <c r="Q114" s="22"/>
      <c r="R114" s="22"/>
      <c r="S114" s="22"/>
      <c r="T114" s="22"/>
      <c r="U114" s="22"/>
      <c r="V114" s="22"/>
      <c r="W114" s="22"/>
      <c r="X114" s="22"/>
      <c r="Y114" s="22"/>
      <c r="Z114" s="22"/>
      <c r="AA114" s="22"/>
      <c r="AB114" s="22"/>
      <c r="AC114" s="22"/>
      <c r="AD114" s="22"/>
      <c r="AE114" s="22"/>
    </row>
    <row r="115">
      <c r="A115" s="22" t="s">
        <v>1901</v>
      </c>
      <c r="B115" s="167" t="str">
        <f>IF(ISBLANK(A115),"",VLOOKUP(A115,DOI_URL!$B$1:$C$74,2,FALSE()))</f>
        <v>https://drive.google.com/file/d/1Y1OQI3P21GvJPl17uBvMJXKeFU-SR0wk/view?usp=sharing</v>
      </c>
      <c r="C115" s="22" t="s">
        <v>3311</v>
      </c>
      <c r="D115" s="22"/>
      <c r="E115" s="22" t="s">
        <v>3155</v>
      </c>
      <c r="F115" s="22" t="s">
        <v>3156</v>
      </c>
      <c r="G115" s="22" t="s">
        <v>1909</v>
      </c>
      <c r="H115" s="22" t="s">
        <v>1910</v>
      </c>
      <c r="I115" s="22" t="s">
        <v>14</v>
      </c>
      <c r="J115" s="22" t="s">
        <v>806</v>
      </c>
      <c r="K115" s="22"/>
      <c r="L115" s="22"/>
      <c r="M115" s="22"/>
      <c r="N115" s="22"/>
      <c r="O115" s="22"/>
      <c r="P115" s="22"/>
      <c r="Q115" s="22"/>
      <c r="R115" s="22"/>
      <c r="S115" s="22"/>
      <c r="T115" s="22"/>
      <c r="U115" s="22"/>
      <c r="V115" s="22"/>
      <c r="W115" s="22"/>
      <c r="X115" s="22"/>
      <c r="Y115" s="22"/>
      <c r="Z115" s="22"/>
      <c r="AA115" s="22"/>
      <c r="AB115" s="22"/>
      <c r="AC115" s="22"/>
      <c r="AD115" s="22"/>
      <c r="AE115" s="22"/>
    </row>
    <row r="116">
      <c r="A116" s="22" t="s">
        <v>1901</v>
      </c>
      <c r="B116" s="167" t="str">
        <f>IF(ISBLANK(A116),"",VLOOKUP(A116,DOI_URL!$B$1:$C$74,2,FALSE()))</f>
        <v>https://drive.google.com/file/d/1Y1OQI3P21GvJPl17uBvMJXKeFU-SR0wk/view?usp=sharing</v>
      </c>
      <c r="C116" s="22" t="s">
        <v>3311</v>
      </c>
      <c r="D116" s="22"/>
      <c r="E116" s="22" t="s">
        <v>3157</v>
      </c>
      <c r="F116" s="22" t="s">
        <v>3156</v>
      </c>
      <c r="G116" s="22" t="s">
        <v>3158</v>
      </c>
      <c r="H116" s="22" t="s">
        <v>1910</v>
      </c>
      <c r="I116" s="22" t="s">
        <v>14</v>
      </c>
      <c r="J116" s="22" t="s">
        <v>806</v>
      </c>
      <c r="K116" s="22"/>
      <c r="L116" s="22"/>
      <c r="M116" s="22"/>
      <c r="N116" s="22"/>
      <c r="O116" s="22"/>
      <c r="P116" s="22"/>
      <c r="Q116" s="22"/>
      <c r="R116" s="22"/>
      <c r="S116" s="22"/>
      <c r="T116" s="22"/>
      <c r="U116" s="22"/>
      <c r="V116" s="22"/>
      <c r="W116" s="22"/>
      <c r="X116" s="22"/>
      <c r="Y116" s="22"/>
      <c r="Z116" s="22"/>
      <c r="AA116" s="22"/>
      <c r="AB116" s="22"/>
      <c r="AC116" s="22"/>
      <c r="AD116" s="22"/>
      <c r="AE116" s="22"/>
    </row>
    <row r="117">
      <c r="A117" s="22" t="s">
        <v>1901</v>
      </c>
      <c r="B117" s="167" t="str">
        <f>IF(ISBLANK(A117),"",VLOOKUP(A117,DOI_URL!$B$1:$C$74,2,FALSE()))</f>
        <v>https://drive.google.com/file/d/1Y1OQI3P21GvJPl17uBvMJXKeFU-SR0wk/view?usp=sharing</v>
      </c>
      <c r="C117" s="22" t="s">
        <v>3311</v>
      </c>
      <c r="D117" s="22"/>
      <c r="E117" s="22" t="s">
        <v>3157</v>
      </c>
      <c r="F117" s="22" t="s">
        <v>3160</v>
      </c>
      <c r="G117" s="22" t="s">
        <v>3161</v>
      </c>
      <c r="H117" s="22" t="s">
        <v>3162</v>
      </c>
      <c r="I117" s="22" t="s">
        <v>14</v>
      </c>
      <c r="J117" s="22" t="s">
        <v>806</v>
      </c>
      <c r="K117" s="22"/>
      <c r="L117" s="22"/>
      <c r="M117" s="22"/>
      <c r="N117" s="22"/>
      <c r="O117" s="22"/>
      <c r="P117" s="22"/>
      <c r="Q117" s="22"/>
      <c r="R117" s="22"/>
      <c r="S117" s="22"/>
      <c r="T117" s="22"/>
      <c r="U117" s="22"/>
      <c r="V117" s="22"/>
      <c r="W117" s="22"/>
      <c r="X117" s="22"/>
      <c r="Y117" s="22"/>
      <c r="Z117" s="22"/>
      <c r="AA117" s="22"/>
      <c r="AB117" s="22"/>
      <c r="AC117" s="22"/>
      <c r="AD117" s="22"/>
      <c r="AE117" s="22"/>
    </row>
    <row r="118">
      <c r="A118" s="22" t="s">
        <v>1901</v>
      </c>
      <c r="B118" s="167" t="str">
        <f>IF(ISBLANK(A118),"",VLOOKUP(A118,DOI_URL!$B$1:$C$74,2,FALSE()))</f>
        <v>https://drive.google.com/file/d/1Y1OQI3P21GvJPl17uBvMJXKeFU-SR0wk/view?usp=sharing</v>
      </c>
      <c r="C118" s="22" t="s">
        <v>3311</v>
      </c>
      <c r="D118" s="22"/>
      <c r="E118" s="22" t="s">
        <v>3163</v>
      </c>
      <c r="F118" s="22"/>
      <c r="G118" s="179" t="s">
        <v>3164</v>
      </c>
      <c r="H118" s="22" t="s">
        <v>3165</v>
      </c>
      <c r="I118" s="22" t="s">
        <v>20</v>
      </c>
      <c r="J118" s="22" t="s">
        <v>806</v>
      </c>
      <c r="K118" s="22"/>
      <c r="L118" s="22"/>
      <c r="M118" s="22"/>
      <c r="N118" s="22"/>
      <c r="O118" s="22"/>
      <c r="P118" s="22"/>
      <c r="Q118" s="22"/>
      <c r="R118" s="22"/>
      <c r="S118" s="22"/>
      <c r="T118" s="22"/>
      <c r="U118" s="22"/>
      <c r="V118" s="22"/>
      <c r="W118" s="22"/>
      <c r="X118" s="22"/>
      <c r="Y118" s="22"/>
      <c r="Z118" s="22"/>
      <c r="AA118" s="22"/>
      <c r="AB118" s="22"/>
      <c r="AC118" s="22"/>
      <c r="AD118" s="22"/>
      <c r="AE118" s="22"/>
    </row>
    <row r="119">
      <c r="A119" s="22" t="s">
        <v>1901</v>
      </c>
      <c r="B119" s="167" t="str">
        <f>IF(ISBLANK(A119),"",VLOOKUP(A119,DOI_URL!$B$1:$C$74,2,FALSE()))</f>
        <v>https://drive.google.com/file/d/1Y1OQI3P21GvJPl17uBvMJXKeFU-SR0wk/view?usp=sharing</v>
      </c>
      <c r="C119" s="22" t="s">
        <v>3311</v>
      </c>
      <c r="D119" s="22"/>
      <c r="E119" s="22" t="s">
        <v>3163</v>
      </c>
      <c r="F119" s="22" t="s">
        <v>3160</v>
      </c>
      <c r="G119" s="22" t="s">
        <v>3166</v>
      </c>
      <c r="H119" s="22" t="s">
        <v>3165</v>
      </c>
      <c r="I119" s="22" t="s">
        <v>20</v>
      </c>
      <c r="J119" s="22" t="s">
        <v>806</v>
      </c>
      <c r="K119" s="22"/>
      <c r="L119" s="22"/>
      <c r="M119" s="22"/>
      <c r="N119" s="22"/>
      <c r="O119" s="22"/>
      <c r="P119" s="22"/>
      <c r="Q119" s="22"/>
      <c r="R119" s="22"/>
      <c r="S119" s="22"/>
      <c r="T119" s="22"/>
      <c r="U119" s="22"/>
      <c r="V119" s="22"/>
      <c r="W119" s="22"/>
      <c r="X119" s="22"/>
      <c r="Y119" s="22"/>
      <c r="Z119" s="22"/>
      <c r="AA119" s="22"/>
      <c r="AB119" s="22"/>
      <c r="AC119" s="22"/>
      <c r="AD119" s="22"/>
      <c r="AE119" s="22"/>
    </row>
    <row r="120">
      <c r="A120" s="22" t="s">
        <v>1901</v>
      </c>
      <c r="B120" s="167" t="str">
        <f>IF(ISBLANK(A120),"",VLOOKUP(A120,DOI_URL!$B$1:$C$74,2,FALSE()))</f>
        <v>https://drive.google.com/file/d/1Y1OQI3P21GvJPl17uBvMJXKeFU-SR0wk/view?usp=sharing</v>
      </c>
      <c r="C120" s="22" t="s">
        <v>3311</v>
      </c>
      <c r="D120" s="22"/>
      <c r="E120" s="22" t="s">
        <v>3167</v>
      </c>
      <c r="F120" s="22" t="s">
        <v>1924</v>
      </c>
      <c r="G120" s="180" t="s">
        <v>1925</v>
      </c>
      <c r="H120" s="22" t="s">
        <v>3168</v>
      </c>
      <c r="I120" s="22" t="s">
        <v>20</v>
      </c>
      <c r="J120" s="22" t="s">
        <v>806</v>
      </c>
      <c r="K120" s="22"/>
      <c r="L120" s="22"/>
      <c r="M120" s="22"/>
      <c r="N120" s="22"/>
      <c r="O120" s="22"/>
      <c r="P120" s="22"/>
      <c r="Q120" s="22"/>
      <c r="R120" s="22"/>
      <c r="S120" s="22"/>
      <c r="T120" s="22"/>
      <c r="U120" s="22"/>
      <c r="V120" s="22"/>
      <c r="W120" s="22"/>
      <c r="X120" s="22"/>
      <c r="Y120" s="22"/>
      <c r="Z120" s="22"/>
      <c r="AA120" s="22"/>
      <c r="AB120" s="22"/>
      <c r="AC120" s="22"/>
      <c r="AD120" s="22"/>
      <c r="AE120" s="22"/>
    </row>
    <row r="121">
      <c r="A121" s="22" t="s">
        <v>1901</v>
      </c>
      <c r="B121" s="167" t="str">
        <f>IF(ISBLANK(A121),"",VLOOKUP(A121,DOI_URL!$B$1:$C$74,2,FALSE()))</f>
        <v>https://drive.google.com/file/d/1Y1OQI3P21GvJPl17uBvMJXKeFU-SR0wk/view?usp=sharing</v>
      </c>
      <c r="C121" s="22" t="s">
        <v>3311</v>
      </c>
      <c r="D121" s="22"/>
      <c r="E121" s="22" t="s">
        <v>3169</v>
      </c>
      <c r="F121" s="22"/>
      <c r="G121" s="22" t="s">
        <v>3170</v>
      </c>
      <c r="H121" s="22" t="s">
        <v>3171</v>
      </c>
      <c r="I121" s="22" t="s">
        <v>54</v>
      </c>
      <c r="J121" s="22" t="s">
        <v>806</v>
      </c>
      <c r="K121" s="22"/>
      <c r="L121" s="22"/>
      <c r="M121" s="22"/>
      <c r="N121" s="22"/>
      <c r="O121" s="22"/>
      <c r="P121" s="22"/>
      <c r="Q121" s="22"/>
      <c r="R121" s="22"/>
      <c r="S121" s="22"/>
      <c r="T121" s="22"/>
      <c r="U121" s="22"/>
      <c r="V121" s="22"/>
      <c r="W121" s="22"/>
      <c r="X121" s="22"/>
      <c r="Y121" s="22"/>
      <c r="Z121" s="22"/>
      <c r="AA121" s="22"/>
      <c r="AB121" s="22"/>
      <c r="AC121" s="22"/>
      <c r="AD121" s="22"/>
      <c r="AE121" s="22"/>
    </row>
    <row r="122">
      <c r="A122" s="22" t="s">
        <v>1901</v>
      </c>
      <c r="B122" s="167" t="str">
        <f>IF(ISBLANK(A122),"",VLOOKUP(A122,DOI_URL!$B$1:$C$74,2,FALSE()))</f>
        <v>https://drive.google.com/file/d/1Y1OQI3P21GvJPl17uBvMJXKeFU-SR0wk/view?usp=sharing</v>
      </c>
      <c r="C122" s="22" t="s">
        <v>3311</v>
      </c>
      <c r="D122" s="22"/>
      <c r="E122" s="22" t="s">
        <v>3172</v>
      </c>
      <c r="F122" s="22" t="s">
        <v>1924</v>
      </c>
      <c r="G122" s="22" t="s">
        <v>3173</v>
      </c>
      <c r="H122" s="22" t="s">
        <v>3174</v>
      </c>
      <c r="I122" s="22" t="s">
        <v>20</v>
      </c>
      <c r="J122" s="22" t="s">
        <v>806</v>
      </c>
      <c r="K122" s="22"/>
      <c r="L122" s="22"/>
      <c r="M122" s="22"/>
      <c r="N122" s="22"/>
      <c r="O122" s="22"/>
      <c r="P122" s="22"/>
      <c r="Q122" s="22"/>
      <c r="R122" s="22"/>
      <c r="S122" s="22"/>
      <c r="T122" s="22"/>
      <c r="U122" s="22"/>
      <c r="V122" s="22"/>
      <c r="W122" s="22"/>
      <c r="X122" s="22"/>
      <c r="Y122" s="22"/>
      <c r="Z122" s="22"/>
      <c r="AA122" s="22"/>
      <c r="AB122" s="22"/>
      <c r="AC122" s="22"/>
      <c r="AD122" s="22"/>
      <c r="AE122" s="22"/>
    </row>
    <row r="123">
      <c r="A123" s="22" t="s">
        <v>1901</v>
      </c>
      <c r="B123" s="167" t="str">
        <f>IF(ISBLANK(A123),"",VLOOKUP(A123,DOI_URL!$B$1:$C$74,2,FALSE()))</f>
        <v>https://drive.google.com/file/d/1Y1OQI3P21GvJPl17uBvMJXKeFU-SR0wk/view?usp=sharing</v>
      </c>
      <c r="C123" s="22" t="s">
        <v>3311</v>
      </c>
      <c r="D123" s="22"/>
      <c r="E123" s="22" t="s">
        <v>3175</v>
      </c>
      <c r="F123" s="22"/>
      <c r="G123" s="22" t="s">
        <v>3176</v>
      </c>
      <c r="H123" s="22" t="s">
        <v>309</v>
      </c>
      <c r="I123" s="22" t="s">
        <v>39</v>
      </c>
      <c r="J123" s="22" t="s">
        <v>806</v>
      </c>
      <c r="K123" s="22"/>
      <c r="L123" s="22"/>
      <c r="M123" s="22"/>
      <c r="N123" s="22"/>
      <c r="O123" s="22"/>
      <c r="P123" s="22"/>
      <c r="Q123" s="22"/>
      <c r="R123" s="22"/>
      <c r="S123" s="22"/>
      <c r="T123" s="22"/>
      <c r="U123" s="22"/>
      <c r="V123" s="22"/>
      <c r="W123" s="22"/>
      <c r="X123" s="22"/>
      <c r="Y123" s="22"/>
      <c r="Z123" s="22"/>
      <c r="AA123" s="22"/>
      <c r="AB123" s="22"/>
      <c r="AC123" s="22"/>
      <c r="AD123" s="22"/>
      <c r="AE123" s="22"/>
    </row>
    <row r="124">
      <c r="A124" s="22" t="s">
        <v>1901</v>
      </c>
      <c r="B124" s="167" t="str">
        <f>IF(ISBLANK(A124),"",VLOOKUP(A124,DOI_URL!$B$1:$C$74,2,FALSE()))</f>
        <v>https://drive.google.com/file/d/1Y1OQI3P21GvJPl17uBvMJXKeFU-SR0wk/view?usp=sharing</v>
      </c>
      <c r="C124" s="22" t="s">
        <v>3311</v>
      </c>
      <c r="D124" s="22"/>
      <c r="E124" s="22" t="s">
        <v>3177</v>
      </c>
      <c r="F124" s="22"/>
      <c r="G124" s="22" t="s">
        <v>3178</v>
      </c>
      <c r="H124" s="22" t="s">
        <v>309</v>
      </c>
      <c r="I124" s="22" t="s">
        <v>39</v>
      </c>
      <c r="J124" s="22" t="s">
        <v>806</v>
      </c>
      <c r="K124" s="22"/>
      <c r="L124" s="22"/>
      <c r="M124" s="22"/>
      <c r="N124" s="22"/>
      <c r="O124" s="22"/>
      <c r="P124" s="22"/>
      <c r="Q124" s="22"/>
      <c r="R124" s="22"/>
      <c r="S124" s="22"/>
      <c r="T124" s="22"/>
      <c r="U124" s="22"/>
      <c r="V124" s="22"/>
      <c r="W124" s="22"/>
      <c r="X124" s="22"/>
      <c r="Y124" s="22"/>
      <c r="Z124" s="22"/>
      <c r="AA124" s="22"/>
      <c r="AB124" s="22"/>
      <c r="AC124" s="22"/>
      <c r="AD124" s="22"/>
      <c r="AE124" s="22"/>
    </row>
    <row r="125">
      <c r="A125" s="22" t="s">
        <v>1901</v>
      </c>
      <c r="B125" s="167" t="str">
        <f>IF(ISBLANK(A125),"",VLOOKUP(A125,DOI_URL!$B$1:$C$74,2,FALSE()))</f>
        <v>https://drive.google.com/file/d/1Y1OQI3P21GvJPl17uBvMJXKeFU-SR0wk/view?usp=sharing</v>
      </c>
      <c r="C125" s="22" t="s">
        <v>3311</v>
      </c>
      <c r="D125" s="22"/>
      <c r="E125" s="22" t="s">
        <v>3179</v>
      </c>
      <c r="F125" s="22"/>
      <c r="G125" s="22" t="s">
        <v>1932</v>
      </c>
      <c r="H125" s="22" t="s">
        <v>585</v>
      </c>
      <c r="I125" s="22"/>
      <c r="J125" s="22" t="s">
        <v>806</v>
      </c>
      <c r="K125" s="22"/>
      <c r="L125" s="22"/>
      <c r="M125" s="22"/>
      <c r="N125" s="22"/>
      <c r="O125" s="22"/>
      <c r="P125" s="22"/>
      <c r="Q125" s="22"/>
      <c r="R125" s="22"/>
      <c r="S125" s="22"/>
      <c r="T125" s="22"/>
      <c r="U125" s="22"/>
      <c r="V125" s="22"/>
      <c r="W125" s="22"/>
      <c r="X125" s="22"/>
      <c r="Y125" s="22"/>
      <c r="Z125" s="22"/>
      <c r="AA125" s="22"/>
      <c r="AB125" s="22"/>
      <c r="AC125" s="22"/>
      <c r="AD125" s="22"/>
      <c r="AE125" s="22"/>
    </row>
    <row r="126">
      <c r="A126" s="22" t="s">
        <v>1901</v>
      </c>
      <c r="B126" s="167" t="str">
        <f>IF(ISBLANK(A126),"",VLOOKUP(A126,DOI_URL!$B$1:$C$74,2,FALSE()))</f>
        <v>https://drive.google.com/file/d/1Y1OQI3P21GvJPl17uBvMJXKeFU-SR0wk/view?usp=sharing</v>
      </c>
      <c r="C126" s="22" t="s">
        <v>3311</v>
      </c>
      <c r="D126" s="22"/>
      <c r="E126" s="22" t="s">
        <v>3180</v>
      </c>
      <c r="F126" s="22"/>
      <c r="G126" s="22" t="s">
        <v>3181</v>
      </c>
      <c r="H126" s="22" t="s">
        <v>3182</v>
      </c>
      <c r="I126" s="22" t="s">
        <v>39</v>
      </c>
      <c r="J126" s="22" t="s">
        <v>806</v>
      </c>
      <c r="K126" s="22"/>
      <c r="L126" s="22"/>
      <c r="M126" s="22"/>
      <c r="N126" s="22"/>
      <c r="O126" s="22"/>
      <c r="P126" s="22"/>
      <c r="Q126" s="22"/>
      <c r="R126" s="22"/>
      <c r="S126" s="22"/>
      <c r="T126" s="22"/>
      <c r="U126" s="22"/>
      <c r="V126" s="22"/>
      <c r="W126" s="22"/>
      <c r="X126" s="22"/>
      <c r="Y126" s="22"/>
      <c r="Z126" s="22"/>
      <c r="AA126" s="22"/>
      <c r="AB126" s="22"/>
      <c r="AC126" s="22"/>
      <c r="AD126" s="22"/>
      <c r="AE126" s="22"/>
    </row>
    <row r="127">
      <c r="A127" s="22" t="s">
        <v>1901</v>
      </c>
      <c r="B127" s="167" t="str">
        <f>IF(ISBLANK(A127),"",VLOOKUP(A127,DOI_URL!$B$1:$C$74,2,FALSE()))</f>
        <v>https://drive.google.com/file/d/1Y1OQI3P21GvJPl17uBvMJXKeFU-SR0wk/view?usp=sharing</v>
      </c>
      <c r="C127" s="22" t="s">
        <v>3311</v>
      </c>
      <c r="D127" s="22"/>
      <c r="E127" s="22" t="s">
        <v>3183</v>
      </c>
      <c r="F127" s="22"/>
      <c r="G127" s="22" t="s">
        <v>3184</v>
      </c>
      <c r="H127" s="22" t="s">
        <v>1946</v>
      </c>
      <c r="I127" s="22" t="s">
        <v>39</v>
      </c>
      <c r="J127" s="22" t="s">
        <v>806</v>
      </c>
      <c r="K127" s="22"/>
      <c r="L127" s="22"/>
      <c r="M127" s="22"/>
      <c r="N127" s="22"/>
      <c r="O127" s="22"/>
      <c r="P127" s="22"/>
      <c r="Q127" s="22"/>
      <c r="R127" s="22"/>
      <c r="S127" s="22"/>
      <c r="T127" s="22"/>
      <c r="U127" s="22"/>
      <c r="V127" s="22"/>
      <c r="W127" s="22"/>
      <c r="X127" s="22"/>
      <c r="Y127" s="22"/>
      <c r="Z127" s="22"/>
      <c r="AA127" s="22"/>
      <c r="AB127" s="22"/>
      <c r="AC127" s="22"/>
      <c r="AD127" s="22"/>
      <c r="AE127" s="22"/>
    </row>
    <row r="128">
      <c r="A128" s="22" t="s">
        <v>1901</v>
      </c>
      <c r="B128" s="167" t="str">
        <f>IF(ISBLANK(A128),"",VLOOKUP(A128,DOI_URL!$B$1:$C$74,2,FALSE()))</f>
        <v>https://drive.google.com/file/d/1Y1OQI3P21GvJPl17uBvMJXKeFU-SR0wk/view?usp=sharing</v>
      </c>
      <c r="C128" s="22" t="s">
        <v>3311</v>
      </c>
      <c r="D128" s="22"/>
      <c r="E128" s="22" t="s">
        <v>3185</v>
      </c>
      <c r="F128" s="22"/>
      <c r="G128" s="22" t="s">
        <v>1952</v>
      </c>
      <c r="H128" s="22" t="s">
        <v>3186</v>
      </c>
      <c r="I128" s="22" t="s">
        <v>39</v>
      </c>
      <c r="J128" s="22" t="s">
        <v>806</v>
      </c>
      <c r="K128" s="22"/>
      <c r="L128" s="22"/>
      <c r="M128" s="22"/>
      <c r="N128" s="22"/>
      <c r="O128" s="22"/>
      <c r="P128" s="22"/>
      <c r="Q128" s="22"/>
      <c r="R128" s="22"/>
      <c r="S128" s="22"/>
      <c r="T128" s="22"/>
      <c r="U128" s="22"/>
      <c r="V128" s="22"/>
      <c r="W128" s="22"/>
      <c r="X128" s="22"/>
      <c r="Y128" s="22"/>
      <c r="Z128" s="22"/>
      <c r="AA128" s="22"/>
      <c r="AB128" s="22"/>
      <c r="AC128" s="22"/>
      <c r="AD128" s="22"/>
      <c r="AE128" s="22"/>
    </row>
    <row r="129">
      <c r="A129" s="22" t="s">
        <v>1901</v>
      </c>
      <c r="B129" s="167" t="str">
        <f>IF(ISBLANK(A129),"",VLOOKUP(A129,DOI_URL!$B$1:$C$74,2,FALSE()))</f>
        <v>https://drive.google.com/file/d/1Y1OQI3P21GvJPl17uBvMJXKeFU-SR0wk/view?usp=sharing</v>
      </c>
      <c r="C129" s="22" t="s">
        <v>3311</v>
      </c>
      <c r="D129" s="22"/>
      <c r="E129" s="22" t="s">
        <v>1954</v>
      </c>
      <c r="F129" s="22"/>
      <c r="G129" s="35" t="s">
        <v>3681</v>
      </c>
      <c r="H129" s="22" t="s">
        <v>1956</v>
      </c>
      <c r="I129" s="22" t="s">
        <v>39</v>
      </c>
      <c r="J129" s="22" t="s">
        <v>806</v>
      </c>
      <c r="K129" s="22"/>
      <c r="L129" s="22"/>
      <c r="M129" s="22"/>
      <c r="N129" s="22"/>
      <c r="O129" s="22"/>
      <c r="P129" s="22"/>
      <c r="Q129" s="22"/>
      <c r="R129" s="22"/>
      <c r="S129" s="22"/>
      <c r="T129" s="22"/>
      <c r="U129" s="22"/>
      <c r="V129" s="22"/>
      <c r="W129" s="22"/>
      <c r="X129" s="22"/>
      <c r="Y129" s="22"/>
      <c r="Z129" s="22"/>
      <c r="AA129" s="22"/>
      <c r="AB129" s="22"/>
      <c r="AC129" s="22"/>
      <c r="AD129" s="22"/>
      <c r="AE129" s="22"/>
    </row>
    <row r="130">
      <c r="A130" s="22" t="s">
        <v>1901</v>
      </c>
      <c r="B130" s="167" t="str">
        <f>IF(ISBLANK(A130),"",VLOOKUP(A130,DOI_URL!$B$1:$C$74,2,FALSE()))</f>
        <v>https://drive.google.com/file/d/1Y1OQI3P21GvJPl17uBvMJXKeFU-SR0wk/view?usp=sharing</v>
      </c>
      <c r="C130" s="22" t="s">
        <v>3311</v>
      </c>
      <c r="D130" s="22"/>
      <c r="E130" s="22" t="s">
        <v>1954</v>
      </c>
      <c r="F130" s="22"/>
      <c r="G130" s="22" t="s">
        <v>3187</v>
      </c>
      <c r="H130" s="22" t="s">
        <v>1956</v>
      </c>
      <c r="I130" s="22" t="s">
        <v>39</v>
      </c>
      <c r="J130" s="22" t="s">
        <v>806</v>
      </c>
      <c r="K130" s="22"/>
      <c r="L130" s="22"/>
      <c r="M130" s="22"/>
      <c r="N130" s="22"/>
      <c r="O130" s="22"/>
      <c r="P130" s="22"/>
      <c r="Q130" s="22"/>
      <c r="R130" s="22"/>
      <c r="S130" s="22"/>
      <c r="T130" s="22"/>
      <c r="U130" s="22"/>
      <c r="V130" s="22"/>
      <c r="W130" s="22"/>
      <c r="X130" s="22"/>
      <c r="Y130" s="22"/>
      <c r="Z130" s="22"/>
      <c r="AA130" s="22"/>
      <c r="AB130" s="22"/>
      <c r="AC130" s="22"/>
      <c r="AD130" s="22"/>
      <c r="AE130" s="22"/>
    </row>
    <row r="131">
      <c r="A131" s="22" t="s">
        <v>341</v>
      </c>
      <c r="B131" s="167" t="str">
        <f>IF(ISBLANK(A131),"",VLOOKUP(A131,DOI_URL!$B$1:$C$74,2,FALSE()))</f>
        <v>https://drive.google.com/file/d/1AxOtfUTigUGp6nWYUpPh1cw26-9vqQ2t/view?usp=sharing</v>
      </c>
      <c r="C131" s="22" t="s">
        <v>3311</v>
      </c>
      <c r="D131" s="22"/>
      <c r="E131" s="22" t="s">
        <v>343</v>
      </c>
      <c r="F131" s="22" t="s">
        <v>2385</v>
      </c>
      <c r="G131" s="22" t="s">
        <v>2386</v>
      </c>
      <c r="H131" s="22" t="s">
        <v>2387</v>
      </c>
      <c r="I131" s="22" t="s">
        <v>2388</v>
      </c>
      <c r="J131" s="22" t="s">
        <v>2389</v>
      </c>
      <c r="K131" s="22"/>
      <c r="L131" s="22"/>
      <c r="M131" s="22"/>
      <c r="N131" s="22"/>
      <c r="O131" s="22"/>
      <c r="P131" s="22"/>
      <c r="Q131" s="22"/>
      <c r="R131" s="22"/>
      <c r="S131" s="22"/>
      <c r="T131" s="22"/>
      <c r="U131" s="22"/>
      <c r="V131" s="22"/>
      <c r="W131" s="22"/>
      <c r="X131" s="22"/>
      <c r="Y131" s="22"/>
      <c r="Z131" s="22"/>
      <c r="AA131" s="22"/>
      <c r="AB131" s="22"/>
      <c r="AC131" s="22"/>
      <c r="AD131" s="22"/>
      <c r="AE131" s="22"/>
    </row>
    <row r="132">
      <c r="A132" s="22" t="s">
        <v>341</v>
      </c>
      <c r="B132" s="167" t="str">
        <f>IF(ISBLANK(A132),"",VLOOKUP(A132,DOI_URL!$B$1:$C$74,2,FALSE()))</f>
        <v>https://drive.google.com/file/d/1AxOtfUTigUGp6nWYUpPh1cw26-9vqQ2t/view?usp=sharing</v>
      </c>
      <c r="C132" s="22" t="s">
        <v>3311</v>
      </c>
      <c r="D132" s="22"/>
      <c r="E132" s="22" t="s">
        <v>343</v>
      </c>
      <c r="F132" s="22" t="s">
        <v>2390</v>
      </c>
      <c r="G132" s="22" t="s">
        <v>349</v>
      </c>
      <c r="H132" s="22" t="s">
        <v>2391</v>
      </c>
      <c r="I132" s="22" t="s">
        <v>2388</v>
      </c>
      <c r="J132" s="22" t="s">
        <v>2389</v>
      </c>
      <c r="K132" s="22"/>
      <c r="L132" s="22"/>
      <c r="M132" s="22"/>
      <c r="N132" s="22"/>
      <c r="O132" s="22"/>
      <c r="P132" s="22"/>
      <c r="Q132" s="22"/>
      <c r="R132" s="22"/>
      <c r="S132" s="22"/>
      <c r="T132" s="22"/>
      <c r="U132" s="22"/>
      <c r="V132" s="22"/>
      <c r="W132" s="22"/>
      <c r="X132" s="22"/>
      <c r="Y132" s="22"/>
      <c r="Z132" s="22"/>
      <c r="AA132" s="22"/>
      <c r="AB132" s="22"/>
      <c r="AC132" s="22"/>
      <c r="AD132" s="22"/>
      <c r="AE132" s="22"/>
    </row>
    <row r="133">
      <c r="A133" s="22" t="s">
        <v>341</v>
      </c>
      <c r="B133" s="167" t="str">
        <f>IF(ISBLANK(A133),"",VLOOKUP(A133,DOI_URL!$B$1:$C$74,2,FALSE()))</f>
        <v>https://drive.google.com/file/d/1AxOtfUTigUGp6nWYUpPh1cw26-9vqQ2t/view?usp=sharing</v>
      </c>
      <c r="C133" s="22" t="s">
        <v>3311</v>
      </c>
      <c r="D133" s="22"/>
      <c r="E133" s="27" t="s">
        <v>351</v>
      </c>
      <c r="F133" s="22"/>
      <c r="G133" s="22" t="s">
        <v>352</v>
      </c>
      <c r="H133" s="22" t="s">
        <v>353</v>
      </c>
      <c r="I133" s="22" t="s">
        <v>54</v>
      </c>
      <c r="J133" s="22" t="s">
        <v>2389</v>
      </c>
      <c r="K133" s="22"/>
      <c r="L133" s="22"/>
      <c r="M133" s="22"/>
      <c r="N133" s="22"/>
      <c r="O133" s="22"/>
      <c r="P133" s="22"/>
      <c r="Q133" s="22"/>
      <c r="R133" s="22"/>
      <c r="S133" s="22"/>
      <c r="T133" s="22"/>
      <c r="U133" s="22"/>
      <c r="V133" s="22"/>
      <c r="W133" s="22"/>
      <c r="X133" s="22"/>
      <c r="Y133" s="22"/>
      <c r="Z133" s="22"/>
      <c r="AA133" s="22"/>
      <c r="AB133" s="22"/>
      <c r="AC133" s="22"/>
      <c r="AD133" s="22"/>
      <c r="AE133" s="22"/>
    </row>
    <row r="134">
      <c r="A134" s="22" t="s">
        <v>341</v>
      </c>
      <c r="B134" s="167" t="str">
        <f>IF(ISBLANK(A134),"",VLOOKUP(A134,DOI_URL!$B$1:$C$74,2,FALSE()))</f>
        <v>https://drive.google.com/file/d/1AxOtfUTigUGp6nWYUpPh1cw26-9vqQ2t/view?usp=sharing</v>
      </c>
      <c r="C134" s="22" t="s">
        <v>3311</v>
      </c>
      <c r="D134" s="22"/>
      <c r="E134" s="22" t="s">
        <v>356</v>
      </c>
      <c r="F134" s="22"/>
      <c r="G134" s="22" t="s">
        <v>357</v>
      </c>
      <c r="H134" s="22" t="s">
        <v>358</v>
      </c>
      <c r="I134" s="22" t="s">
        <v>39</v>
      </c>
      <c r="J134" s="22" t="s">
        <v>2389</v>
      </c>
      <c r="K134" s="22"/>
      <c r="L134" s="22"/>
      <c r="M134" s="22"/>
      <c r="N134" s="22"/>
      <c r="O134" s="22"/>
      <c r="P134" s="22"/>
      <c r="Q134" s="22"/>
      <c r="R134" s="22"/>
      <c r="S134" s="22"/>
      <c r="T134" s="22"/>
      <c r="U134" s="22"/>
      <c r="V134" s="22"/>
      <c r="W134" s="22"/>
      <c r="X134" s="22"/>
      <c r="Y134" s="22"/>
      <c r="Z134" s="22"/>
      <c r="AA134" s="22"/>
      <c r="AB134" s="22"/>
      <c r="AC134" s="22"/>
      <c r="AD134" s="22"/>
      <c r="AE134" s="22"/>
    </row>
    <row r="135">
      <c r="A135" s="22" t="s">
        <v>341</v>
      </c>
      <c r="B135" s="167" t="str">
        <f>IF(ISBLANK(A135),"",VLOOKUP(A135,DOI_URL!$B$1:$C$74,2,FALSE()))</f>
        <v>https://drive.google.com/file/d/1AxOtfUTigUGp6nWYUpPh1cw26-9vqQ2t/view?usp=sharing</v>
      </c>
      <c r="C135" s="22" t="s">
        <v>3311</v>
      </c>
      <c r="D135" s="22"/>
      <c r="E135" s="22" t="s">
        <v>359</v>
      </c>
      <c r="F135" s="22"/>
      <c r="G135" s="22" t="s">
        <v>360</v>
      </c>
      <c r="H135" s="22" t="s">
        <v>361</v>
      </c>
      <c r="I135" s="22" t="s">
        <v>39</v>
      </c>
      <c r="J135" s="22" t="s">
        <v>2389</v>
      </c>
      <c r="K135" s="22"/>
      <c r="L135" s="22"/>
      <c r="M135" s="22"/>
      <c r="N135" s="22"/>
      <c r="O135" s="22"/>
      <c r="P135" s="22"/>
      <c r="Q135" s="22"/>
      <c r="R135" s="22"/>
      <c r="S135" s="22"/>
      <c r="T135" s="22"/>
      <c r="U135" s="22"/>
      <c r="V135" s="22"/>
      <c r="W135" s="22"/>
      <c r="X135" s="22"/>
      <c r="Y135" s="22"/>
      <c r="Z135" s="22"/>
      <c r="AA135" s="22"/>
      <c r="AB135" s="22"/>
      <c r="AC135" s="22"/>
      <c r="AD135" s="22"/>
      <c r="AE135" s="22"/>
    </row>
    <row r="136">
      <c r="A136" s="22" t="s">
        <v>341</v>
      </c>
      <c r="B136" s="167" t="str">
        <f>IF(ISBLANK(A136),"",VLOOKUP(A136,DOI_URL!$B$1:$C$74,2,FALSE()))</f>
        <v>https://drive.google.com/file/d/1AxOtfUTigUGp6nWYUpPh1cw26-9vqQ2t/view?usp=sharing</v>
      </c>
      <c r="C136" s="22" t="s">
        <v>3311</v>
      </c>
      <c r="D136" s="22"/>
      <c r="E136" s="22" t="s">
        <v>362</v>
      </c>
      <c r="F136" s="35" t="s">
        <v>3682</v>
      </c>
      <c r="G136" s="35" t="s">
        <v>3683</v>
      </c>
      <c r="H136" s="22" t="s">
        <v>364</v>
      </c>
      <c r="I136" s="22" t="s">
        <v>39</v>
      </c>
      <c r="J136" s="22" t="s">
        <v>2389</v>
      </c>
      <c r="K136" s="22"/>
      <c r="L136" s="22"/>
      <c r="M136" s="22"/>
      <c r="N136" s="22"/>
      <c r="O136" s="22"/>
      <c r="P136" s="22"/>
      <c r="Q136" s="22"/>
      <c r="R136" s="22"/>
      <c r="S136" s="22"/>
      <c r="T136" s="22"/>
      <c r="U136" s="22"/>
      <c r="V136" s="22"/>
      <c r="W136" s="22"/>
      <c r="X136" s="22"/>
      <c r="Y136" s="22"/>
      <c r="Z136" s="22"/>
      <c r="AA136" s="22"/>
      <c r="AB136" s="22"/>
      <c r="AC136" s="22"/>
      <c r="AD136" s="22"/>
      <c r="AE136" s="22"/>
    </row>
    <row r="137">
      <c r="A137" s="22" t="s">
        <v>341</v>
      </c>
      <c r="B137" s="167" t="str">
        <f>IF(ISBLANK(A137),"",VLOOKUP(A137,DOI_URL!$B$1:$C$74,2,FALSE()))</f>
        <v>https://drive.google.com/file/d/1AxOtfUTigUGp6nWYUpPh1cw26-9vqQ2t/view?usp=sharing</v>
      </c>
      <c r="C137" s="22" t="s">
        <v>3311</v>
      </c>
      <c r="D137" s="22"/>
      <c r="E137" s="22" t="s">
        <v>362</v>
      </c>
      <c r="F137" s="22"/>
      <c r="G137" s="22" t="s">
        <v>365</v>
      </c>
      <c r="H137" s="22" t="s">
        <v>366</v>
      </c>
      <c r="I137" s="22" t="s">
        <v>39</v>
      </c>
      <c r="J137" s="22" t="s">
        <v>2389</v>
      </c>
      <c r="K137" s="22"/>
      <c r="L137" s="22"/>
      <c r="M137" s="22"/>
      <c r="N137" s="22"/>
      <c r="O137" s="22"/>
      <c r="P137" s="22"/>
      <c r="Q137" s="22"/>
      <c r="R137" s="22"/>
      <c r="S137" s="22"/>
      <c r="T137" s="22"/>
      <c r="U137" s="22"/>
      <c r="V137" s="22"/>
      <c r="W137" s="22"/>
      <c r="X137" s="22"/>
      <c r="Y137" s="22"/>
      <c r="Z137" s="22"/>
      <c r="AA137" s="22"/>
      <c r="AB137" s="22"/>
      <c r="AC137" s="22"/>
      <c r="AD137" s="22"/>
      <c r="AE137" s="22"/>
    </row>
    <row r="138">
      <c r="A138" s="22" t="s">
        <v>341</v>
      </c>
      <c r="B138" s="167" t="str">
        <f>IF(ISBLANK(A138),"",VLOOKUP(A138,DOI_URL!$B$1:$C$74,2,FALSE()))</f>
        <v>https://drive.google.com/file/d/1AxOtfUTigUGp6nWYUpPh1cw26-9vqQ2t/view?usp=sharing</v>
      </c>
      <c r="C138" s="22" t="s">
        <v>3311</v>
      </c>
      <c r="D138" s="22"/>
      <c r="E138" s="22" t="s">
        <v>362</v>
      </c>
      <c r="F138" s="22"/>
      <c r="G138" s="22" t="s">
        <v>368</v>
      </c>
      <c r="H138" s="22" t="s">
        <v>361</v>
      </c>
      <c r="I138" s="22" t="s">
        <v>39</v>
      </c>
      <c r="J138" s="22" t="s">
        <v>2389</v>
      </c>
      <c r="K138" s="22"/>
      <c r="L138" s="22"/>
      <c r="M138" s="22"/>
      <c r="N138" s="22"/>
      <c r="O138" s="22"/>
      <c r="P138" s="22"/>
      <c r="Q138" s="22"/>
      <c r="R138" s="22"/>
      <c r="S138" s="22"/>
      <c r="T138" s="22"/>
      <c r="U138" s="22"/>
      <c r="V138" s="22"/>
      <c r="W138" s="22"/>
      <c r="X138" s="22"/>
      <c r="Y138" s="22"/>
      <c r="Z138" s="22"/>
      <c r="AA138" s="22"/>
      <c r="AB138" s="22"/>
      <c r="AC138" s="22"/>
      <c r="AD138" s="22"/>
      <c r="AE138" s="22"/>
    </row>
    <row r="139">
      <c r="A139" s="22" t="s">
        <v>2048</v>
      </c>
      <c r="B139" s="167" t="str">
        <f>IF(ISBLANK(A139),"",VLOOKUP(A139,DOI_URL!$B$1:$C$74,2,FALSE()))</f>
        <v>https://drive.google.com/file/d/19_9hHScb-SsvztR5YVMwQ0lDgZnOVNKr/view?usp=sharing</v>
      </c>
      <c r="C139" s="22" t="s">
        <v>3311</v>
      </c>
      <c r="D139" s="22"/>
      <c r="E139" s="22" t="s">
        <v>2053</v>
      </c>
      <c r="F139" s="22"/>
      <c r="G139" s="22" t="s">
        <v>923</v>
      </c>
      <c r="H139" s="22" t="s">
        <v>585</v>
      </c>
      <c r="I139" s="22"/>
      <c r="J139" s="22" t="s">
        <v>2090</v>
      </c>
      <c r="K139" s="22"/>
      <c r="L139" s="22"/>
      <c r="M139" s="22"/>
      <c r="N139" s="22"/>
      <c r="O139" s="22"/>
      <c r="P139" s="22"/>
      <c r="Q139" s="22"/>
      <c r="R139" s="22"/>
      <c r="S139" s="22"/>
      <c r="T139" s="22"/>
      <c r="U139" s="22"/>
      <c r="V139" s="22"/>
      <c r="W139" s="22"/>
      <c r="X139" s="22"/>
      <c r="Y139" s="22"/>
      <c r="Z139" s="22"/>
      <c r="AA139" s="22"/>
      <c r="AB139" s="22"/>
      <c r="AC139" s="22"/>
      <c r="AD139" s="22"/>
      <c r="AE139" s="22"/>
    </row>
    <row r="140">
      <c r="A140" s="22" t="s">
        <v>2048</v>
      </c>
      <c r="B140" s="167" t="str">
        <f>IF(ISBLANK(A140),"",VLOOKUP(A140,DOI_URL!$B$1:$C$74,2,FALSE()))</f>
        <v>https://drive.google.com/file/d/19_9hHScb-SsvztR5YVMwQ0lDgZnOVNKr/view?usp=sharing</v>
      </c>
      <c r="C140" s="22" t="s">
        <v>3311</v>
      </c>
      <c r="D140" s="22"/>
      <c r="E140" s="22" t="s">
        <v>2081</v>
      </c>
      <c r="F140" s="22"/>
      <c r="G140" s="22" t="s">
        <v>3241</v>
      </c>
      <c r="H140" s="22" t="s">
        <v>2083</v>
      </c>
      <c r="I140" s="22" t="s">
        <v>39</v>
      </c>
      <c r="J140" s="22" t="s">
        <v>2090</v>
      </c>
      <c r="K140" s="22"/>
      <c r="L140" s="22"/>
      <c r="M140" s="22"/>
      <c r="N140" s="22"/>
      <c r="O140" s="22"/>
      <c r="P140" s="22"/>
      <c r="Q140" s="22"/>
      <c r="R140" s="22"/>
      <c r="S140" s="22"/>
      <c r="T140" s="22"/>
      <c r="U140" s="22"/>
      <c r="V140" s="22"/>
      <c r="W140" s="22"/>
      <c r="X140" s="22"/>
      <c r="Y140" s="22"/>
      <c r="Z140" s="22"/>
      <c r="AA140" s="22"/>
      <c r="AB140" s="22"/>
      <c r="AC140" s="22"/>
      <c r="AD140" s="22"/>
      <c r="AE140" s="22"/>
    </row>
    <row r="141">
      <c r="A141" s="22" t="s">
        <v>2048</v>
      </c>
      <c r="B141" s="167" t="str">
        <f>IF(ISBLANK(A141),"",VLOOKUP(A141,DOI_URL!$B$1:$C$74,2,FALSE()))</f>
        <v>https://drive.google.com/file/d/19_9hHScb-SsvztR5YVMwQ0lDgZnOVNKr/view?usp=sharing</v>
      </c>
      <c r="C141" s="22" t="s">
        <v>3311</v>
      </c>
      <c r="D141" s="22"/>
      <c r="E141" s="22" t="s">
        <v>2072</v>
      </c>
      <c r="F141" s="22" t="s">
        <v>1921</v>
      </c>
      <c r="G141" s="22" t="s">
        <v>3242</v>
      </c>
      <c r="H141" s="22" t="s">
        <v>3243</v>
      </c>
      <c r="I141" s="22" t="s">
        <v>20</v>
      </c>
      <c r="J141" s="22" t="s">
        <v>2090</v>
      </c>
      <c r="K141" s="22"/>
      <c r="L141" s="22"/>
      <c r="M141" s="22"/>
      <c r="N141" s="22"/>
      <c r="O141" s="22"/>
      <c r="P141" s="22"/>
      <c r="Q141" s="22"/>
      <c r="R141" s="22"/>
      <c r="S141" s="22"/>
      <c r="T141" s="22"/>
      <c r="U141" s="22"/>
      <c r="V141" s="22"/>
      <c r="W141" s="22"/>
      <c r="X141" s="22"/>
      <c r="Y141" s="22"/>
      <c r="Z141" s="22"/>
      <c r="AA141" s="22"/>
      <c r="AB141" s="22"/>
      <c r="AC141" s="22"/>
      <c r="AD141" s="22"/>
      <c r="AE141" s="22"/>
    </row>
    <row r="142">
      <c r="A142" s="22" t="s">
        <v>2048</v>
      </c>
      <c r="B142" s="167" t="str">
        <f>IF(ISBLANK(A142),"",VLOOKUP(A142,DOI_URL!$B$1:$C$74,2,FALSE()))</f>
        <v>https://drive.google.com/file/d/19_9hHScb-SsvztR5YVMwQ0lDgZnOVNKr/view?usp=sharing</v>
      </c>
      <c r="C142" s="22" t="s">
        <v>3311</v>
      </c>
      <c r="D142" s="22"/>
      <c r="E142" s="22" t="s">
        <v>2072</v>
      </c>
      <c r="F142" s="22" t="s">
        <v>1921</v>
      </c>
      <c r="G142" s="22" t="s">
        <v>3244</v>
      </c>
      <c r="H142" s="22" t="s">
        <v>3243</v>
      </c>
      <c r="I142" s="22" t="s">
        <v>20</v>
      </c>
      <c r="J142" s="22" t="s">
        <v>2090</v>
      </c>
      <c r="K142" s="22"/>
      <c r="L142" s="22"/>
      <c r="M142" s="22"/>
      <c r="N142" s="22"/>
      <c r="O142" s="22"/>
      <c r="P142" s="22"/>
      <c r="Q142" s="22"/>
      <c r="R142" s="22"/>
      <c r="S142" s="22"/>
      <c r="T142" s="22"/>
      <c r="U142" s="22"/>
      <c r="V142" s="22"/>
      <c r="W142" s="22"/>
      <c r="X142" s="22"/>
      <c r="Y142" s="22"/>
      <c r="Z142" s="22"/>
      <c r="AA142" s="22"/>
      <c r="AB142" s="22"/>
      <c r="AC142" s="22"/>
      <c r="AD142" s="22"/>
      <c r="AE142" s="22"/>
    </row>
    <row r="143">
      <c r="A143" s="22" t="s">
        <v>2048</v>
      </c>
      <c r="B143" s="167" t="str">
        <f>IF(ISBLANK(A143),"",VLOOKUP(A143,DOI_URL!$B$1:$C$74,2,FALSE()))</f>
        <v>https://drive.google.com/file/d/19_9hHScb-SsvztR5YVMwQ0lDgZnOVNKr/view?usp=sharing</v>
      </c>
      <c r="C143" s="22" t="s">
        <v>3311</v>
      </c>
      <c r="D143" s="22"/>
      <c r="E143" s="22" t="s">
        <v>2072</v>
      </c>
      <c r="F143" s="22" t="s">
        <v>1921</v>
      </c>
      <c r="G143" s="22" t="s">
        <v>3245</v>
      </c>
      <c r="H143" s="22" t="s">
        <v>3243</v>
      </c>
      <c r="I143" s="22" t="s">
        <v>20</v>
      </c>
      <c r="J143" s="22" t="s">
        <v>2090</v>
      </c>
      <c r="K143" s="22"/>
      <c r="L143" s="22"/>
      <c r="M143" s="22"/>
      <c r="N143" s="22"/>
      <c r="O143" s="22"/>
      <c r="P143" s="22"/>
      <c r="Q143" s="22"/>
      <c r="R143" s="22"/>
      <c r="S143" s="22"/>
      <c r="T143" s="22"/>
      <c r="U143" s="22"/>
      <c r="V143" s="22"/>
      <c r="W143" s="22"/>
      <c r="X143" s="22"/>
      <c r="Y143" s="22"/>
      <c r="Z143" s="22"/>
      <c r="AA143" s="22"/>
      <c r="AB143" s="22"/>
      <c r="AC143" s="22"/>
      <c r="AD143" s="22"/>
      <c r="AE143" s="22"/>
    </row>
    <row r="144">
      <c r="A144" s="22" t="s">
        <v>2048</v>
      </c>
      <c r="B144" s="167" t="str">
        <f>IF(ISBLANK(A144),"",VLOOKUP(A144,DOI_URL!$B$1:$C$74,2,FALSE()))</f>
        <v>https://drive.google.com/file/d/19_9hHScb-SsvztR5YVMwQ0lDgZnOVNKr/view?usp=sharing</v>
      </c>
      <c r="C144" s="22" t="s">
        <v>3311</v>
      </c>
      <c r="D144" s="22"/>
      <c r="E144" s="22" t="s">
        <v>2072</v>
      </c>
      <c r="F144" s="22" t="s">
        <v>1921</v>
      </c>
      <c r="G144" s="22" t="s">
        <v>3246</v>
      </c>
      <c r="H144" s="22" t="s">
        <v>3247</v>
      </c>
      <c r="I144" s="22" t="s">
        <v>20</v>
      </c>
      <c r="J144" s="22" t="s">
        <v>2090</v>
      </c>
      <c r="K144" s="22"/>
      <c r="L144" s="22"/>
      <c r="M144" s="22"/>
      <c r="N144" s="22"/>
      <c r="O144" s="22"/>
      <c r="P144" s="22"/>
      <c r="Q144" s="22"/>
      <c r="R144" s="22"/>
      <c r="S144" s="22"/>
      <c r="T144" s="22"/>
      <c r="U144" s="22"/>
      <c r="V144" s="22"/>
      <c r="W144" s="22"/>
      <c r="X144" s="22"/>
      <c r="Y144" s="22"/>
      <c r="Z144" s="22"/>
      <c r="AA144" s="22"/>
      <c r="AB144" s="22"/>
      <c r="AC144" s="22"/>
      <c r="AD144" s="22"/>
      <c r="AE144" s="22"/>
    </row>
    <row r="145">
      <c r="A145" s="22" t="s">
        <v>2048</v>
      </c>
      <c r="B145" s="167" t="str">
        <f>IF(ISBLANK(A145),"",VLOOKUP(A145,DOI_URL!$B$1:$C$74,2,FALSE()))</f>
        <v>https://drive.google.com/file/d/19_9hHScb-SsvztR5YVMwQ0lDgZnOVNKr/view?usp=sharing</v>
      </c>
      <c r="C145" s="22" t="s">
        <v>3311</v>
      </c>
      <c r="D145" s="22"/>
      <c r="E145" s="22" t="s">
        <v>2072</v>
      </c>
      <c r="F145" s="22" t="s">
        <v>1921</v>
      </c>
      <c r="G145" s="27" t="s">
        <v>3248</v>
      </c>
      <c r="H145" s="22"/>
      <c r="I145" s="22" t="s">
        <v>20</v>
      </c>
      <c r="J145" s="22" t="s">
        <v>2090</v>
      </c>
      <c r="K145" s="22"/>
      <c r="L145" s="22"/>
      <c r="M145" s="22"/>
      <c r="N145" s="22"/>
      <c r="O145" s="22"/>
      <c r="P145" s="22"/>
      <c r="Q145" s="22"/>
      <c r="R145" s="22"/>
      <c r="S145" s="22"/>
      <c r="T145" s="22"/>
      <c r="U145" s="22"/>
      <c r="V145" s="22"/>
      <c r="W145" s="22"/>
      <c r="X145" s="22"/>
      <c r="Y145" s="22"/>
      <c r="Z145" s="22"/>
      <c r="AA145" s="22"/>
      <c r="AB145" s="22"/>
      <c r="AC145" s="22"/>
      <c r="AD145" s="22"/>
      <c r="AE145" s="22"/>
    </row>
    <row r="146">
      <c r="A146" s="22" t="s">
        <v>2048</v>
      </c>
      <c r="B146" s="167" t="str">
        <f>IF(ISBLANK(A146),"",VLOOKUP(A146,DOI_URL!$B$1:$C$74,2,FALSE()))</f>
        <v>https://drive.google.com/file/d/19_9hHScb-SsvztR5YVMwQ0lDgZnOVNKr/view?usp=sharing</v>
      </c>
      <c r="C146" s="22" t="s">
        <v>3311</v>
      </c>
      <c r="D146" s="22"/>
      <c r="E146" s="22" t="s">
        <v>2072</v>
      </c>
      <c r="F146" s="22" t="s">
        <v>3249</v>
      </c>
      <c r="G146" s="27" t="s">
        <v>3250</v>
      </c>
      <c r="H146" s="22"/>
      <c r="I146" s="22" t="s">
        <v>20</v>
      </c>
      <c r="J146" s="22" t="s">
        <v>2090</v>
      </c>
      <c r="K146" s="22"/>
      <c r="L146" s="22"/>
      <c r="M146" s="22"/>
      <c r="N146" s="22"/>
      <c r="O146" s="22"/>
      <c r="P146" s="22"/>
      <c r="Q146" s="22"/>
      <c r="R146" s="22"/>
      <c r="S146" s="22"/>
      <c r="T146" s="22"/>
      <c r="U146" s="22"/>
      <c r="V146" s="22"/>
      <c r="W146" s="22"/>
      <c r="X146" s="22"/>
      <c r="Y146" s="22"/>
      <c r="Z146" s="22"/>
      <c r="AA146" s="22"/>
      <c r="AB146" s="22"/>
      <c r="AC146" s="22"/>
      <c r="AD146" s="22"/>
      <c r="AE146" s="22"/>
    </row>
    <row r="147">
      <c r="A147" s="22" t="s">
        <v>2048</v>
      </c>
      <c r="B147" s="167" t="str">
        <f>IF(ISBLANK(A147),"",VLOOKUP(A147,DOI_URL!$B$1:$C$74,2,FALSE()))</f>
        <v>https://drive.google.com/file/d/19_9hHScb-SsvztR5YVMwQ0lDgZnOVNKr/view?usp=sharing</v>
      </c>
      <c r="C147" s="22" t="s">
        <v>3311</v>
      </c>
      <c r="D147" s="22"/>
      <c r="E147" s="22" t="s">
        <v>2086</v>
      </c>
      <c r="F147" s="22" t="s">
        <v>2087</v>
      </c>
      <c r="G147" s="22" t="s">
        <v>2088</v>
      </c>
      <c r="H147" s="22" t="s">
        <v>1669</v>
      </c>
      <c r="I147" s="22" t="s">
        <v>14</v>
      </c>
      <c r="J147" s="22" t="s">
        <v>2090</v>
      </c>
      <c r="K147" s="22"/>
      <c r="L147" s="22"/>
      <c r="M147" s="22"/>
      <c r="N147" s="22"/>
      <c r="O147" s="22"/>
      <c r="P147" s="22"/>
      <c r="Q147" s="22"/>
      <c r="R147" s="22"/>
      <c r="S147" s="22"/>
      <c r="T147" s="22"/>
      <c r="U147" s="22"/>
      <c r="V147" s="22"/>
      <c r="W147" s="22"/>
      <c r="X147" s="22"/>
      <c r="Y147" s="22"/>
      <c r="Z147" s="22"/>
      <c r="AA147" s="22"/>
      <c r="AB147" s="22"/>
      <c r="AC147" s="22"/>
      <c r="AD147" s="22"/>
      <c r="AE147" s="22"/>
    </row>
    <row r="148">
      <c r="A148" s="22" t="s">
        <v>2048</v>
      </c>
      <c r="B148" s="167" t="str">
        <f>IF(ISBLANK(A148),"",VLOOKUP(A148,DOI_URL!$B$1:$C$74,2,FALSE()))</f>
        <v>https://drive.google.com/file/d/19_9hHScb-SsvztR5YVMwQ0lDgZnOVNKr/view?usp=sharing</v>
      </c>
      <c r="C148" s="22" t="s">
        <v>3311</v>
      </c>
      <c r="D148" s="22"/>
      <c r="E148" s="22" t="s">
        <v>3251</v>
      </c>
      <c r="F148" s="22"/>
      <c r="G148" s="22" t="s">
        <v>3252</v>
      </c>
      <c r="H148" s="22" t="s">
        <v>3253</v>
      </c>
      <c r="I148" s="22" t="s">
        <v>54</v>
      </c>
      <c r="J148" s="22" t="s">
        <v>2090</v>
      </c>
      <c r="K148" s="22"/>
      <c r="L148" s="22"/>
      <c r="M148" s="22"/>
      <c r="N148" s="22"/>
      <c r="O148" s="22"/>
      <c r="P148" s="22"/>
      <c r="Q148" s="22"/>
      <c r="R148" s="22"/>
      <c r="S148" s="22"/>
      <c r="T148" s="22"/>
      <c r="U148" s="22"/>
      <c r="V148" s="22"/>
      <c r="W148" s="22"/>
      <c r="X148" s="22"/>
      <c r="Y148" s="22"/>
      <c r="Z148" s="22"/>
      <c r="AA148" s="22"/>
      <c r="AB148" s="22"/>
      <c r="AC148" s="22"/>
      <c r="AD148" s="22"/>
      <c r="AE148" s="22"/>
    </row>
    <row r="149">
      <c r="A149" s="22" t="s">
        <v>2048</v>
      </c>
      <c r="B149" s="167" t="str">
        <f>IF(ISBLANK(A149),"",VLOOKUP(A149,DOI_URL!$B$1:$C$74,2,FALSE()))</f>
        <v>https://drive.google.com/file/d/19_9hHScb-SsvztR5YVMwQ0lDgZnOVNKr/view?usp=sharing</v>
      </c>
      <c r="C149" s="22" t="s">
        <v>3311</v>
      </c>
      <c r="D149" s="22"/>
      <c r="E149" s="22" t="s">
        <v>2079</v>
      </c>
      <c r="F149" s="22"/>
      <c r="G149" s="22" t="s">
        <v>357</v>
      </c>
      <c r="H149" s="22" t="s">
        <v>358</v>
      </c>
      <c r="I149" s="22" t="s">
        <v>39</v>
      </c>
      <c r="J149" s="22" t="s">
        <v>2090</v>
      </c>
      <c r="K149" s="22"/>
      <c r="L149" s="22"/>
      <c r="M149" s="22"/>
      <c r="N149" s="22"/>
      <c r="O149" s="22"/>
      <c r="P149" s="22"/>
      <c r="Q149" s="22"/>
      <c r="R149" s="22"/>
      <c r="S149" s="22"/>
      <c r="T149" s="22"/>
      <c r="U149" s="22"/>
      <c r="V149" s="22"/>
      <c r="W149" s="22"/>
      <c r="X149" s="22"/>
      <c r="Y149" s="22"/>
      <c r="Z149" s="22"/>
      <c r="AA149" s="22"/>
      <c r="AB149" s="22"/>
      <c r="AC149" s="22"/>
      <c r="AD149" s="22"/>
      <c r="AE149" s="22"/>
    </row>
    <row r="150">
      <c r="A150" s="22" t="s">
        <v>2048</v>
      </c>
      <c r="B150" s="167" t="str">
        <f>IF(ISBLANK(A150),"",VLOOKUP(A150,DOI_URL!$B$1:$C$74,2,FALSE()))</f>
        <v>https://drive.google.com/file/d/19_9hHScb-SsvztR5YVMwQ0lDgZnOVNKr/view?usp=sharing</v>
      </c>
      <c r="C150" s="22" t="s">
        <v>3311</v>
      </c>
      <c r="D150" s="22"/>
      <c r="E150" s="22" t="s">
        <v>2084</v>
      </c>
      <c r="F150" s="22"/>
      <c r="G150" s="22" t="s">
        <v>2085</v>
      </c>
      <c r="H150" s="35" t="s">
        <v>3675</v>
      </c>
      <c r="I150" s="22" t="s">
        <v>39</v>
      </c>
      <c r="J150" s="22" t="s">
        <v>2090</v>
      </c>
      <c r="K150" s="22"/>
      <c r="L150" s="22"/>
      <c r="M150" s="22"/>
      <c r="N150" s="22"/>
      <c r="O150" s="22"/>
      <c r="P150" s="22"/>
      <c r="Q150" s="22"/>
      <c r="R150" s="22"/>
      <c r="S150" s="22"/>
      <c r="T150" s="22"/>
      <c r="U150" s="22"/>
      <c r="V150" s="22"/>
      <c r="W150" s="22"/>
      <c r="X150" s="22"/>
      <c r="Y150" s="22"/>
      <c r="Z150" s="22"/>
      <c r="AA150" s="22"/>
      <c r="AB150" s="22"/>
      <c r="AC150" s="22"/>
      <c r="AD150" s="22"/>
      <c r="AE150" s="22"/>
    </row>
    <row r="151">
      <c r="A151" s="17" t="s">
        <v>2024</v>
      </c>
      <c r="B151" s="167" t="str">
        <f>IF(ISBLANK(A151),"",VLOOKUP(A151,DOI_URL!$B$1:$C$74,2,FALSE()))</f>
        <v>https://drive.google.com/file/d/1JZQNwY2TOpDBW0F0DdPs6-ms46LuyiQj/view?usp=sharing</v>
      </c>
      <c r="C151" s="22" t="s">
        <v>3311</v>
      </c>
      <c r="D151" s="22"/>
      <c r="E151" s="22" t="s">
        <v>3226</v>
      </c>
      <c r="F151" s="22" t="s">
        <v>3227</v>
      </c>
      <c r="G151" s="22" t="s">
        <v>3228</v>
      </c>
      <c r="H151" s="22" t="s">
        <v>3229</v>
      </c>
      <c r="I151" s="22" t="s">
        <v>2388</v>
      </c>
      <c r="J151" s="22" t="s">
        <v>2028</v>
      </c>
      <c r="K151" s="22"/>
      <c r="L151" s="22"/>
      <c r="M151" s="22"/>
      <c r="N151" s="22"/>
      <c r="O151" s="22"/>
      <c r="P151" s="22"/>
      <c r="Q151" s="22"/>
      <c r="R151" s="22"/>
      <c r="S151" s="22"/>
      <c r="T151" s="22"/>
      <c r="U151" s="22"/>
      <c r="V151" s="22"/>
      <c r="W151" s="22"/>
      <c r="X151" s="22"/>
      <c r="Y151" s="22"/>
      <c r="Z151" s="22"/>
      <c r="AA151" s="22"/>
      <c r="AB151" s="22"/>
      <c r="AC151" s="22"/>
      <c r="AD151" s="22"/>
      <c r="AE151" s="22"/>
    </row>
    <row r="152">
      <c r="A152" s="17" t="s">
        <v>2024</v>
      </c>
      <c r="B152" s="167" t="str">
        <f>IF(ISBLANK(A152),"",VLOOKUP(A152,DOI_URL!$B$1:$C$74,2,FALSE()))</f>
        <v>https://drive.google.com/file/d/1JZQNwY2TOpDBW0F0DdPs6-ms46LuyiQj/view?usp=sharing</v>
      </c>
      <c r="C152" s="22" t="s">
        <v>3311</v>
      </c>
      <c r="D152" s="22"/>
      <c r="E152" s="22" t="s">
        <v>2035</v>
      </c>
      <c r="F152" s="22"/>
      <c r="G152" s="179" t="s">
        <v>357</v>
      </c>
      <c r="H152" s="22" t="s">
        <v>358</v>
      </c>
      <c r="I152" s="22" t="s">
        <v>39</v>
      </c>
      <c r="J152" s="22" t="s">
        <v>2028</v>
      </c>
      <c r="K152" s="22"/>
      <c r="L152" s="22"/>
      <c r="M152" s="22"/>
      <c r="N152" s="22"/>
      <c r="O152" s="22"/>
      <c r="P152" s="22"/>
      <c r="Q152" s="22"/>
      <c r="R152" s="22"/>
      <c r="S152" s="22"/>
      <c r="T152" s="22"/>
      <c r="U152" s="22"/>
      <c r="V152" s="22"/>
      <c r="W152" s="22"/>
      <c r="X152" s="22"/>
      <c r="Y152" s="22"/>
      <c r="Z152" s="22"/>
      <c r="AA152" s="22"/>
      <c r="AB152" s="22"/>
      <c r="AC152" s="22"/>
      <c r="AD152" s="22"/>
      <c r="AE152" s="22"/>
    </row>
    <row r="153">
      <c r="A153" s="17" t="s">
        <v>2024</v>
      </c>
      <c r="B153" s="167" t="str">
        <f>IF(ISBLANK(A153),"",VLOOKUP(A153,DOI_URL!$B$1:$C$74,2,FALSE()))</f>
        <v>https://drive.google.com/file/d/1JZQNwY2TOpDBW0F0DdPs6-ms46LuyiQj/view?usp=sharing</v>
      </c>
      <c r="C153" s="22" t="s">
        <v>3311</v>
      </c>
      <c r="D153" s="22"/>
      <c r="E153" s="22" t="s">
        <v>2031</v>
      </c>
      <c r="F153" s="22" t="s">
        <v>3230</v>
      </c>
      <c r="G153" s="22" t="s">
        <v>2033</v>
      </c>
      <c r="H153" s="22" t="s">
        <v>3231</v>
      </c>
      <c r="I153" s="22" t="s">
        <v>2388</v>
      </c>
      <c r="J153" s="22" t="s">
        <v>2028</v>
      </c>
      <c r="K153" s="22"/>
      <c r="L153" s="22"/>
      <c r="M153" s="22"/>
      <c r="N153" s="22"/>
      <c r="O153" s="22"/>
      <c r="P153" s="22"/>
      <c r="Q153" s="22"/>
      <c r="R153" s="22"/>
      <c r="S153" s="22"/>
      <c r="T153" s="22"/>
      <c r="U153" s="22"/>
      <c r="V153" s="22"/>
      <c r="W153" s="22"/>
      <c r="X153" s="22"/>
      <c r="Y153" s="22"/>
      <c r="Z153" s="22"/>
      <c r="AA153" s="22"/>
      <c r="AB153" s="22"/>
      <c r="AC153" s="22"/>
      <c r="AD153" s="22"/>
      <c r="AE153" s="22"/>
    </row>
    <row r="154">
      <c r="A154" s="17" t="s">
        <v>2024</v>
      </c>
      <c r="B154" s="167" t="str">
        <f>IF(ISBLANK(A154),"",VLOOKUP(A154,DOI_URL!$B$1:$C$74,2,FALSE()))</f>
        <v>https://drive.google.com/file/d/1JZQNwY2TOpDBW0F0DdPs6-ms46LuyiQj/view?usp=sharing</v>
      </c>
      <c r="C154" s="22" t="s">
        <v>3311</v>
      </c>
      <c r="D154" s="22"/>
      <c r="E154" s="22" t="s">
        <v>2036</v>
      </c>
      <c r="F154" s="22"/>
      <c r="G154" s="179" t="s">
        <v>2037</v>
      </c>
      <c r="H154" s="22" t="s">
        <v>2038</v>
      </c>
      <c r="I154" s="22" t="s">
        <v>39</v>
      </c>
      <c r="J154" s="22" t="s">
        <v>2028</v>
      </c>
      <c r="K154" s="22"/>
      <c r="L154" s="22"/>
      <c r="M154" s="22"/>
      <c r="N154" s="22"/>
      <c r="O154" s="22"/>
      <c r="P154" s="22"/>
      <c r="Q154" s="22"/>
      <c r="R154" s="22"/>
      <c r="S154" s="22"/>
      <c r="T154" s="22"/>
      <c r="U154" s="22"/>
      <c r="V154" s="22"/>
      <c r="W154" s="22"/>
      <c r="X154" s="22"/>
      <c r="Y154" s="22"/>
      <c r="Z154" s="22"/>
      <c r="AA154" s="22"/>
      <c r="AB154" s="22"/>
      <c r="AC154" s="22"/>
      <c r="AD154" s="22"/>
      <c r="AE154" s="22"/>
    </row>
    <row r="155">
      <c r="A155" s="17" t="s">
        <v>2024</v>
      </c>
      <c r="B155" s="167" t="str">
        <f>IF(ISBLANK(A155),"",VLOOKUP(A155,DOI_URL!$B$1:$C$74,2,FALSE()))</f>
        <v>https://drive.google.com/file/d/1JZQNwY2TOpDBW0F0DdPs6-ms46LuyiQj/view?usp=sharing</v>
      </c>
      <c r="C155" s="22" t="s">
        <v>3311</v>
      </c>
      <c r="D155" s="22"/>
      <c r="E155" s="22" t="s">
        <v>2036</v>
      </c>
      <c r="F155" s="22"/>
      <c r="G155" s="22" t="s">
        <v>923</v>
      </c>
      <c r="H155" s="22" t="s">
        <v>585</v>
      </c>
      <c r="I155" s="22"/>
      <c r="J155" s="22" t="s">
        <v>2028</v>
      </c>
      <c r="K155" s="22"/>
      <c r="L155" s="22"/>
      <c r="M155" s="22"/>
      <c r="N155" s="22"/>
      <c r="O155" s="22"/>
      <c r="P155" s="22"/>
      <c r="Q155" s="22"/>
      <c r="R155" s="22"/>
      <c r="S155" s="22"/>
      <c r="T155" s="22"/>
      <c r="U155" s="22"/>
      <c r="V155" s="22"/>
      <c r="W155" s="22"/>
      <c r="X155" s="22"/>
      <c r="Y155" s="22"/>
      <c r="Z155" s="22"/>
      <c r="AA155" s="22"/>
      <c r="AB155" s="22"/>
      <c r="AC155" s="22"/>
      <c r="AD155" s="22"/>
      <c r="AE155" s="22"/>
    </row>
    <row r="156">
      <c r="A156" s="17" t="s">
        <v>2024</v>
      </c>
      <c r="B156" s="167" t="str">
        <f>IF(ISBLANK(A156),"",VLOOKUP(A156,DOI_URL!$B$1:$C$74,2,FALSE()))</f>
        <v>https://drive.google.com/file/d/1JZQNwY2TOpDBW0F0DdPs6-ms46LuyiQj/view?usp=sharing</v>
      </c>
      <c r="C156" s="22" t="s">
        <v>3311</v>
      </c>
      <c r="D156" s="22"/>
      <c r="E156" s="22" t="s">
        <v>2036</v>
      </c>
      <c r="F156" s="22"/>
      <c r="G156" s="22" t="s">
        <v>3232</v>
      </c>
      <c r="H156" s="22"/>
      <c r="I156" s="22" t="s">
        <v>39</v>
      </c>
      <c r="J156" s="22" t="s">
        <v>2028</v>
      </c>
      <c r="K156" s="22"/>
      <c r="L156" s="22"/>
      <c r="M156" s="22"/>
      <c r="N156" s="22"/>
      <c r="O156" s="22"/>
      <c r="P156" s="22"/>
      <c r="Q156" s="22"/>
      <c r="R156" s="22"/>
      <c r="S156" s="22"/>
      <c r="T156" s="22"/>
      <c r="U156" s="22"/>
      <c r="V156" s="22"/>
      <c r="W156" s="22"/>
      <c r="X156" s="22"/>
      <c r="Y156" s="22"/>
      <c r="Z156" s="22"/>
      <c r="AA156" s="22"/>
      <c r="AB156" s="22"/>
      <c r="AC156" s="22"/>
      <c r="AD156" s="22"/>
      <c r="AE156" s="22"/>
    </row>
    <row r="157">
      <c r="A157" s="17" t="s">
        <v>2024</v>
      </c>
      <c r="B157" s="167" t="str">
        <f>IF(ISBLANK(A157),"",VLOOKUP(A157,DOI_URL!$B$1:$C$74,2,FALSE()))</f>
        <v>https://drive.google.com/file/d/1JZQNwY2TOpDBW0F0DdPs6-ms46LuyiQj/view?usp=sharing</v>
      </c>
      <c r="C157" s="22" t="s">
        <v>3311</v>
      </c>
      <c r="D157" s="22"/>
      <c r="E157" s="22" t="s">
        <v>3233</v>
      </c>
      <c r="F157" s="22"/>
      <c r="G157" s="22" t="s">
        <v>3234</v>
      </c>
      <c r="H157" s="22" t="s">
        <v>3235</v>
      </c>
      <c r="I157" s="22" t="s">
        <v>39</v>
      </c>
      <c r="J157" s="22" t="s">
        <v>2028</v>
      </c>
      <c r="K157" s="22"/>
      <c r="L157" s="22"/>
      <c r="M157" s="22"/>
      <c r="N157" s="22"/>
      <c r="O157" s="22"/>
      <c r="P157" s="22"/>
      <c r="Q157" s="22"/>
      <c r="R157" s="22"/>
      <c r="S157" s="22"/>
      <c r="T157" s="22"/>
      <c r="U157" s="22"/>
      <c r="V157" s="22"/>
      <c r="W157" s="22"/>
      <c r="X157" s="22"/>
      <c r="Y157" s="22"/>
      <c r="Z157" s="22"/>
      <c r="AA157" s="22"/>
      <c r="AB157" s="22"/>
      <c r="AC157" s="22"/>
      <c r="AD157" s="22"/>
      <c r="AE157" s="22"/>
    </row>
    <row r="158">
      <c r="A158" s="22" t="s">
        <v>2024</v>
      </c>
      <c r="B158" s="167" t="str">
        <f>IF(ISBLANK(A158),"",VLOOKUP(A158,DOI_URL!$B$1:$C$74,2,FALSE()))</f>
        <v>https://drive.google.com/file/d/1JZQNwY2TOpDBW0F0DdPs6-ms46LuyiQj/view?usp=sharing</v>
      </c>
      <c r="C158" s="22" t="s">
        <v>3311</v>
      </c>
      <c r="D158" s="22"/>
      <c r="E158" s="22" t="s">
        <v>2045</v>
      </c>
      <c r="F158" s="22"/>
      <c r="G158" s="22" t="s">
        <v>2046</v>
      </c>
      <c r="H158" s="22" t="s">
        <v>2047</v>
      </c>
      <c r="I158" s="22" t="s">
        <v>39</v>
      </c>
      <c r="J158" s="22" t="s">
        <v>2028</v>
      </c>
      <c r="K158" s="22"/>
      <c r="L158" s="22"/>
      <c r="M158" s="22"/>
      <c r="N158" s="22"/>
      <c r="O158" s="22"/>
      <c r="P158" s="22"/>
      <c r="Q158" s="22"/>
      <c r="R158" s="22"/>
      <c r="S158" s="22"/>
      <c r="T158" s="22"/>
      <c r="U158" s="22"/>
      <c r="V158" s="22"/>
      <c r="W158" s="22"/>
      <c r="X158" s="22"/>
      <c r="Y158" s="22"/>
      <c r="Z158" s="22"/>
      <c r="AA158" s="22"/>
      <c r="AB158" s="22"/>
      <c r="AC158" s="22"/>
      <c r="AD158" s="22"/>
      <c r="AE158" s="22"/>
    </row>
    <row r="159">
      <c r="A159" s="22" t="s">
        <v>2147</v>
      </c>
      <c r="B159" s="167" t="str">
        <f>IF(ISBLANK(A159),"",VLOOKUP(A159,DOI_URL!$B$1:$C$74,2,FALSE()))</f>
        <v>https://drive.google.com/file/d/1E-xeEypEbEkFzmpuI75RxInyKrCmt0Y4/view?usp=sharing</v>
      </c>
      <c r="C159" s="22" t="s">
        <v>3311</v>
      </c>
      <c r="D159" s="22"/>
      <c r="E159" s="22" t="s">
        <v>2148</v>
      </c>
      <c r="F159" s="22" t="s">
        <v>2149</v>
      </c>
      <c r="G159" s="22" t="s">
        <v>2150</v>
      </c>
      <c r="H159" s="22" t="s">
        <v>2151</v>
      </c>
      <c r="I159" s="22" t="s">
        <v>2388</v>
      </c>
      <c r="J159" s="22" t="s">
        <v>2152</v>
      </c>
      <c r="K159" s="22"/>
      <c r="L159" s="22"/>
      <c r="M159" s="22"/>
      <c r="N159" s="22"/>
      <c r="O159" s="22"/>
      <c r="P159" s="22"/>
      <c r="Q159" s="22"/>
      <c r="R159" s="22"/>
      <c r="S159" s="22"/>
      <c r="T159" s="22"/>
      <c r="U159" s="22"/>
      <c r="V159" s="22"/>
      <c r="W159" s="22"/>
      <c r="X159" s="22"/>
      <c r="Y159" s="22"/>
      <c r="Z159" s="22"/>
      <c r="AA159" s="22"/>
      <c r="AB159" s="22"/>
      <c r="AC159" s="22"/>
      <c r="AD159" s="22"/>
      <c r="AE159" s="22"/>
    </row>
    <row r="160">
      <c r="A160" s="22" t="s">
        <v>2147</v>
      </c>
      <c r="B160" s="167" t="str">
        <f>IF(ISBLANK(A160),"",VLOOKUP(A160,DOI_URL!$B$1:$C$74,2,FALSE()))</f>
        <v>https://drive.google.com/file/d/1E-xeEypEbEkFzmpuI75RxInyKrCmt0Y4/view?usp=sharing</v>
      </c>
      <c r="C160" s="22" t="s">
        <v>3311</v>
      </c>
      <c r="D160" s="22"/>
      <c r="E160" s="22" t="s">
        <v>2153</v>
      </c>
      <c r="F160" s="22" t="s">
        <v>2154</v>
      </c>
      <c r="G160" s="22" t="s">
        <v>2155</v>
      </c>
      <c r="H160" s="22" t="s">
        <v>2156</v>
      </c>
      <c r="I160" s="22" t="s">
        <v>14</v>
      </c>
      <c r="J160" s="22" t="s">
        <v>2152</v>
      </c>
      <c r="K160" s="22"/>
      <c r="L160" s="22"/>
      <c r="M160" s="22"/>
      <c r="N160" s="22"/>
      <c r="O160" s="22"/>
      <c r="P160" s="22"/>
      <c r="Q160" s="22"/>
      <c r="R160" s="22"/>
      <c r="S160" s="22"/>
      <c r="T160" s="22"/>
      <c r="U160" s="22"/>
      <c r="V160" s="22"/>
      <c r="W160" s="22"/>
      <c r="X160" s="22"/>
      <c r="Y160" s="22"/>
      <c r="Z160" s="22"/>
      <c r="AA160" s="22"/>
      <c r="AB160" s="22"/>
      <c r="AC160" s="22"/>
      <c r="AD160" s="22"/>
      <c r="AE160" s="22"/>
    </row>
    <row r="161">
      <c r="A161" s="22" t="s">
        <v>2147</v>
      </c>
      <c r="B161" s="167" t="str">
        <f>IF(ISBLANK(A161),"",VLOOKUP(A161,DOI_URL!$B$1:$C$74,2,FALSE()))</f>
        <v>https://drive.google.com/file/d/1E-xeEypEbEkFzmpuI75RxInyKrCmt0Y4/view?usp=sharing</v>
      </c>
      <c r="C161" s="22" t="s">
        <v>3311</v>
      </c>
      <c r="D161" s="22"/>
      <c r="E161" s="22" t="s">
        <v>2157</v>
      </c>
      <c r="F161" s="22" t="s">
        <v>2158</v>
      </c>
      <c r="G161" s="22" t="s">
        <v>2159</v>
      </c>
      <c r="H161" s="22" t="s">
        <v>2160</v>
      </c>
      <c r="I161" s="22" t="s">
        <v>20</v>
      </c>
      <c r="J161" s="22" t="s">
        <v>2152</v>
      </c>
      <c r="K161" s="22"/>
      <c r="L161" s="22"/>
      <c r="M161" s="22"/>
      <c r="N161" s="22"/>
      <c r="O161" s="22"/>
      <c r="P161" s="22"/>
      <c r="Q161" s="22"/>
      <c r="R161" s="22"/>
      <c r="S161" s="22"/>
      <c r="T161" s="22"/>
      <c r="U161" s="22"/>
      <c r="V161" s="22"/>
      <c r="W161" s="22"/>
      <c r="X161" s="22"/>
      <c r="Y161" s="22"/>
      <c r="Z161" s="22"/>
      <c r="AA161" s="22"/>
      <c r="AB161" s="22"/>
      <c r="AC161" s="22"/>
      <c r="AD161" s="22"/>
      <c r="AE161" s="22"/>
    </row>
    <row r="162">
      <c r="A162" s="22" t="s">
        <v>2147</v>
      </c>
      <c r="B162" s="167" t="str">
        <f>IF(ISBLANK(A162),"",VLOOKUP(A162,DOI_URL!$B$1:$C$74,2,FALSE()))</f>
        <v>https://drive.google.com/file/d/1E-xeEypEbEkFzmpuI75RxInyKrCmt0Y4/view?usp=sharing</v>
      </c>
      <c r="C162" s="22" t="s">
        <v>3311</v>
      </c>
      <c r="D162" s="22"/>
      <c r="E162" s="22" t="s">
        <v>2157</v>
      </c>
      <c r="F162" s="22" t="s">
        <v>2161</v>
      </c>
      <c r="G162" s="22" t="s">
        <v>2162</v>
      </c>
      <c r="H162" s="22" t="s">
        <v>2163</v>
      </c>
      <c r="I162" s="22" t="s">
        <v>14</v>
      </c>
      <c r="J162" s="22" t="s">
        <v>2152</v>
      </c>
      <c r="K162" s="22"/>
      <c r="L162" s="22"/>
      <c r="M162" s="22"/>
      <c r="N162" s="22"/>
      <c r="O162" s="22"/>
      <c r="P162" s="22"/>
      <c r="Q162" s="22"/>
      <c r="R162" s="22"/>
      <c r="S162" s="22"/>
      <c r="T162" s="22"/>
      <c r="U162" s="22"/>
      <c r="V162" s="22"/>
      <c r="W162" s="22"/>
      <c r="X162" s="22"/>
      <c r="Y162" s="22"/>
      <c r="Z162" s="22"/>
      <c r="AA162" s="22"/>
      <c r="AB162" s="22"/>
      <c r="AC162" s="22"/>
      <c r="AD162" s="22"/>
      <c r="AE162" s="22"/>
    </row>
    <row r="163">
      <c r="A163" s="22" t="s">
        <v>2147</v>
      </c>
      <c r="B163" s="167" t="str">
        <f>IF(ISBLANK(A163),"",VLOOKUP(A163,DOI_URL!$B$1:$C$74,2,FALSE()))</f>
        <v>https://drive.google.com/file/d/1E-xeEypEbEkFzmpuI75RxInyKrCmt0Y4/view?usp=sharing</v>
      </c>
      <c r="C163" s="22" t="s">
        <v>3311</v>
      </c>
      <c r="D163" s="22"/>
      <c r="E163" s="22" t="s">
        <v>2157</v>
      </c>
      <c r="F163" s="22" t="s">
        <v>2164</v>
      </c>
      <c r="G163" s="22" t="s">
        <v>3283</v>
      </c>
      <c r="H163" s="22" t="s">
        <v>2166</v>
      </c>
      <c r="I163" s="22" t="s">
        <v>14</v>
      </c>
      <c r="J163" s="22" t="s">
        <v>2152</v>
      </c>
      <c r="K163" s="22"/>
      <c r="L163" s="22"/>
      <c r="M163" s="22"/>
      <c r="N163" s="22"/>
      <c r="O163" s="22"/>
      <c r="P163" s="22"/>
      <c r="Q163" s="22"/>
      <c r="R163" s="22"/>
      <c r="S163" s="22"/>
      <c r="T163" s="22"/>
      <c r="U163" s="22"/>
      <c r="V163" s="22"/>
      <c r="W163" s="22"/>
      <c r="X163" s="22"/>
      <c r="Y163" s="22"/>
      <c r="Z163" s="22"/>
      <c r="AA163" s="22"/>
      <c r="AB163" s="22"/>
      <c r="AC163" s="22"/>
      <c r="AD163" s="22"/>
      <c r="AE163" s="22"/>
    </row>
    <row r="164">
      <c r="A164" s="22" t="s">
        <v>2147</v>
      </c>
      <c r="B164" s="167" t="str">
        <f>IF(ISBLANK(A164),"",VLOOKUP(A164,DOI_URL!$B$1:$C$74,2,FALSE()))</f>
        <v>https://drive.google.com/file/d/1E-xeEypEbEkFzmpuI75RxInyKrCmt0Y4/view?usp=sharing</v>
      </c>
      <c r="C164" s="22" t="s">
        <v>3311</v>
      </c>
      <c r="D164" s="22"/>
      <c r="E164" s="22" t="s">
        <v>2157</v>
      </c>
      <c r="F164" s="22" t="s">
        <v>2167</v>
      </c>
      <c r="G164" s="22" t="s">
        <v>2168</v>
      </c>
      <c r="H164" s="22" t="s">
        <v>2169</v>
      </c>
      <c r="I164" s="22" t="s">
        <v>14</v>
      </c>
      <c r="J164" s="22" t="s">
        <v>2152</v>
      </c>
      <c r="K164" s="22"/>
      <c r="L164" s="22"/>
      <c r="M164" s="22"/>
      <c r="N164" s="22"/>
      <c r="O164" s="22"/>
      <c r="P164" s="22"/>
      <c r="Q164" s="22"/>
      <c r="R164" s="22"/>
      <c r="S164" s="22"/>
      <c r="T164" s="22"/>
      <c r="U164" s="22"/>
      <c r="V164" s="22"/>
      <c r="W164" s="22"/>
      <c r="X164" s="22"/>
      <c r="Y164" s="22"/>
      <c r="Z164" s="22"/>
      <c r="AA164" s="22"/>
      <c r="AB164" s="22"/>
      <c r="AC164" s="22"/>
      <c r="AD164" s="22"/>
      <c r="AE164" s="22"/>
    </row>
    <row r="165">
      <c r="A165" s="22" t="s">
        <v>2147</v>
      </c>
      <c r="B165" s="167" t="str">
        <f>IF(ISBLANK(A165),"",VLOOKUP(A165,DOI_URL!$B$1:$C$74,2,FALSE()))</f>
        <v>https://drive.google.com/file/d/1E-xeEypEbEkFzmpuI75RxInyKrCmt0Y4/view?usp=sharing</v>
      </c>
      <c r="C165" s="22" t="s">
        <v>3311</v>
      </c>
      <c r="D165" s="22"/>
      <c r="E165" s="22" t="s">
        <v>2170</v>
      </c>
      <c r="F165" s="22"/>
      <c r="G165" s="27" t="s">
        <v>3285</v>
      </c>
      <c r="H165" s="22"/>
      <c r="I165" s="22" t="s">
        <v>39</v>
      </c>
      <c r="J165" s="22" t="s">
        <v>2152</v>
      </c>
      <c r="K165" s="22"/>
      <c r="L165" s="22"/>
      <c r="M165" s="22"/>
      <c r="N165" s="22"/>
      <c r="O165" s="22"/>
      <c r="P165" s="22"/>
      <c r="Q165" s="22"/>
      <c r="R165" s="22"/>
      <c r="S165" s="22"/>
      <c r="T165" s="22"/>
      <c r="U165" s="22"/>
      <c r="V165" s="22"/>
      <c r="W165" s="22"/>
      <c r="X165" s="22"/>
      <c r="Y165" s="22"/>
      <c r="Z165" s="22"/>
      <c r="AA165" s="22"/>
      <c r="AB165" s="22"/>
      <c r="AC165" s="22"/>
      <c r="AD165" s="22"/>
      <c r="AE165" s="22"/>
    </row>
    <row r="166">
      <c r="A166" s="22" t="s">
        <v>2147</v>
      </c>
      <c r="B166" s="167" t="str">
        <f>IF(ISBLANK(A166),"",VLOOKUP(A166,DOI_URL!$B$1:$C$74,2,FALSE()))</f>
        <v>https://drive.google.com/file/d/1E-xeEypEbEkFzmpuI75RxInyKrCmt0Y4/view?usp=sharing</v>
      </c>
      <c r="C166" s="22" t="s">
        <v>3311</v>
      </c>
      <c r="D166" s="22"/>
      <c r="E166" s="22" t="s">
        <v>2173</v>
      </c>
      <c r="F166" s="22"/>
      <c r="G166" s="22" t="s">
        <v>2174</v>
      </c>
      <c r="H166" s="22" t="s">
        <v>2175</v>
      </c>
      <c r="I166" s="22" t="s">
        <v>39</v>
      </c>
      <c r="J166" s="22" t="s">
        <v>2152</v>
      </c>
      <c r="K166" s="22"/>
      <c r="L166" s="22"/>
      <c r="M166" s="22"/>
      <c r="N166" s="22"/>
      <c r="O166" s="22"/>
      <c r="P166" s="22"/>
      <c r="Q166" s="22"/>
      <c r="R166" s="22"/>
      <c r="S166" s="22"/>
      <c r="T166" s="22"/>
      <c r="U166" s="22"/>
      <c r="V166" s="22"/>
      <c r="W166" s="22"/>
      <c r="X166" s="22"/>
      <c r="Y166" s="22"/>
      <c r="Z166" s="22"/>
      <c r="AA166" s="22"/>
      <c r="AB166" s="22"/>
      <c r="AC166" s="22"/>
      <c r="AD166" s="22"/>
      <c r="AE166" s="22"/>
    </row>
    <row r="167">
      <c r="A167" s="22" t="s">
        <v>2147</v>
      </c>
      <c r="B167" s="167" t="str">
        <f>IF(ISBLANK(A167),"",VLOOKUP(A167,DOI_URL!$B$1:$C$74,2,FALSE()))</f>
        <v>https://drive.google.com/file/d/1E-xeEypEbEkFzmpuI75RxInyKrCmt0Y4/view?usp=sharing</v>
      </c>
      <c r="C167" s="22" t="s">
        <v>3311</v>
      </c>
      <c r="D167" s="22"/>
      <c r="E167" s="22" t="s">
        <v>2173</v>
      </c>
      <c r="F167" s="22"/>
      <c r="G167" s="22" t="s">
        <v>923</v>
      </c>
      <c r="H167" s="22" t="s">
        <v>585</v>
      </c>
      <c r="I167" s="22"/>
      <c r="J167" s="22" t="s">
        <v>2152</v>
      </c>
      <c r="K167" s="22"/>
      <c r="L167" s="22"/>
      <c r="M167" s="22"/>
      <c r="N167" s="22"/>
      <c r="O167" s="22"/>
      <c r="P167" s="22"/>
      <c r="Q167" s="22"/>
      <c r="R167" s="22"/>
      <c r="S167" s="22"/>
      <c r="T167" s="22"/>
      <c r="U167" s="22"/>
      <c r="V167" s="22"/>
      <c r="W167" s="22"/>
      <c r="X167" s="22"/>
      <c r="Y167" s="22"/>
      <c r="Z167" s="22"/>
      <c r="AA167" s="22"/>
      <c r="AB167" s="22"/>
      <c r="AC167" s="22"/>
      <c r="AD167" s="22"/>
      <c r="AE167" s="22"/>
    </row>
    <row r="168">
      <c r="A168" s="22" t="s">
        <v>2147</v>
      </c>
      <c r="B168" s="167" t="str">
        <f>IF(ISBLANK(A168),"",VLOOKUP(A168,DOI_URL!$B$1:$C$74,2,FALSE()))</f>
        <v>https://drive.google.com/file/d/1E-xeEypEbEkFzmpuI75RxInyKrCmt0Y4/view?usp=sharing</v>
      </c>
      <c r="C168" s="22" t="s">
        <v>3311</v>
      </c>
      <c r="D168" s="22"/>
      <c r="E168" s="22" t="s">
        <v>2173</v>
      </c>
      <c r="F168" s="35" t="s">
        <v>3672</v>
      </c>
      <c r="G168" s="35" t="s">
        <v>3684</v>
      </c>
      <c r="H168" s="22" t="s">
        <v>2179</v>
      </c>
      <c r="I168" s="22" t="s">
        <v>39</v>
      </c>
      <c r="J168" s="22" t="s">
        <v>2152</v>
      </c>
      <c r="K168" s="22"/>
      <c r="L168" s="22"/>
      <c r="M168" s="22"/>
      <c r="N168" s="22"/>
      <c r="O168" s="22"/>
      <c r="P168" s="22"/>
      <c r="Q168" s="22"/>
      <c r="R168" s="22"/>
      <c r="S168" s="22"/>
      <c r="T168" s="22"/>
      <c r="U168" s="22"/>
      <c r="V168" s="22"/>
      <c r="W168" s="22"/>
      <c r="X168" s="22"/>
      <c r="Y168" s="22"/>
      <c r="Z168" s="22"/>
      <c r="AA168" s="22"/>
      <c r="AB168" s="22"/>
      <c r="AC168" s="22"/>
      <c r="AD168" s="22"/>
      <c r="AE168" s="22"/>
    </row>
    <row r="169">
      <c r="A169" s="22" t="s">
        <v>2147</v>
      </c>
      <c r="B169" s="167" t="str">
        <f>IF(ISBLANK(A169),"",VLOOKUP(A169,DOI_URL!$B$1:$C$74,2,FALSE()))</f>
        <v>https://drive.google.com/file/d/1E-xeEypEbEkFzmpuI75RxInyKrCmt0Y4/view?usp=sharing</v>
      </c>
      <c r="C169" s="22" t="s">
        <v>3311</v>
      </c>
      <c r="D169" s="22"/>
      <c r="E169" s="22" t="s">
        <v>2181</v>
      </c>
      <c r="F169" s="22" t="s">
        <v>2182</v>
      </c>
      <c r="G169" s="22" t="s">
        <v>2183</v>
      </c>
      <c r="H169" s="22" t="s">
        <v>2184</v>
      </c>
      <c r="I169" s="22" t="s">
        <v>39</v>
      </c>
      <c r="J169" s="22" t="s">
        <v>2152</v>
      </c>
      <c r="K169" s="22"/>
      <c r="L169" s="22"/>
      <c r="M169" s="22"/>
      <c r="N169" s="22"/>
      <c r="O169" s="22"/>
      <c r="P169" s="22"/>
      <c r="Q169" s="22"/>
      <c r="R169" s="22"/>
      <c r="S169" s="22"/>
      <c r="T169" s="22"/>
      <c r="U169" s="22"/>
      <c r="V169" s="22"/>
      <c r="W169" s="22"/>
      <c r="X169" s="22"/>
      <c r="Y169" s="22"/>
      <c r="Z169" s="22"/>
      <c r="AA169" s="22"/>
      <c r="AB169" s="22"/>
      <c r="AC169" s="22"/>
      <c r="AD169" s="22"/>
      <c r="AE169" s="22"/>
    </row>
    <row r="170">
      <c r="A170" s="22" t="s">
        <v>2091</v>
      </c>
      <c r="B170" s="167" t="str">
        <f>IF(ISBLANK(A170),"",VLOOKUP(A170,DOI_URL!$B$1:$C$74,2,FALSE()))</f>
        <v>https://drive.google.com/file/d/1HY1W3shMasu_iqB9m2DZ_pK0Sv2yXMhG/view?usp=sharing</v>
      </c>
      <c r="C170" s="22" t="s">
        <v>3311</v>
      </c>
      <c r="D170" s="22"/>
      <c r="E170" s="22" t="s">
        <v>3262</v>
      </c>
      <c r="F170" s="22" t="s">
        <v>3263</v>
      </c>
      <c r="G170" s="22" t="s">
        <v>2654</v>
      </c>
      <c r="H170" s="22"/>
      <c r="I170" s="22" t="s">
        <v>20</v>
      </c>
      <c r="J170" s="22" t="s">
        <v>2096</v>
      </c>
      <c r="K170" s="22"/>
      <c r="L170" s="22"/>
      <c r="M170" s="22"/>
      <c r="N170" s="22"/>
      <c r="O170" s="22"/>
      <c r="P170" s="22"/>
      <c r="Q170" s="22"/>
      <c r="R170" s="22"/>
      <c r="S170" s="22"/>
      <c r="T170" s="22"/>
      <c r="U170" s="22"/>
      <c r="V170" s="22"/>
      <c r="W170" s="22"/>
      <c r="X170" s="22"/>
      <c r="Y170" s="22"/>
      <c r="Z170" s="22"/>
      <c r="AA170" s="22"/>
      <c r="AB170" s="22"/>
      <c r="AC170" s="22"/>
      <c r="AD170" s="22"/>
      <c r="AE170" s="22"/>
    </row>
    <row r="171">
      <c r="A171" s="22" t="s">
        <v>2091</v>
      </c>
      <c r="B171" s="167" t="str">
        <f>IF(ISBLANK(A171),"",VLOOKUP(A171,DOI_URL!$B$1:$C$74,2,FALSE()))</f>
        <v>https://drive.google.com/file/d/1HY1W3shMasu_iqB9m2DZ_pK0Sv2yXMhG/view?usp=sharing</v>
      </c>
      <c r="C171" s="22" t="s">
        <v>3311</v>
      </c>
      <c r="D171" s="22"/>
      <c r="E171" s="22" t="s">
        <v>3262</v>
      </c>
      <c r="F171" s="22" t="s">
        <v>3265</v>
      </c>
      <c r="G171" s="22" t="s">
        <v>3266</v>
      </c>
      <c r="H171" s="22"/>
      <c r="I171" s="22" t="s">
        <v>20</v>
      </c>
      <c r="J171" s="22" t="s">
        <v>2096</v>
      </c>
      <c r="K171" s="22"/>
      <c r="L171" s="22"/>
      <c r="M171" s="22"/>
      <c r="N171" s="22"/>
      <c r="O171" s="22"/>
      <c r="P171" s="22"/>
      <c r="Q171" s="22"/>
      <c r="R171" s="22"/>
      <c r="S171" s="22"/>
      <c r="T171" s="22"/>
      <c r="U171" s="22"/>
      <c r="V171" s="22"/>
      <c r="W171" s="22"/>
      <c r="X171" s="22"/>
      <c r="Y171" s="22"/>
      <c r="Z171" s="22"/>
      <c r="AA171" s="22"/>
      <c r="AB171" s="22"/>
      <c r="AC171" s="22"/>
      <c r="AD171" s="22"/>
      <c r="AE171" s="22"/>
    </row>
    <row r="172">
      <c r="A172" s="22" t="s">
        <v>2091</v>
      </c>
      <c r="B172" s="167" t="str">
        <f>IF(ISBLANK(A172),"",VLOOKUP(A172,DOI_URL!$B$1:$C$74,2,FALSE()))</f>
        <v>https://drive.google.com/file/d/1HY1W3shMasu_iqB9m2DZ_pK0Sv2yXMhG/view?usp=sharing</v>
      </c>
      <c r="C172" s="22" t="s">
        <v>3311</v>
      </c>
      <c r="D172" s="22"/>
      <c r="E172" s="22" t="s">
        <v>2101</v>
      </c>
      <c r="F172" s="22" t="s">
        <v>2102</v>
      </c>
      <c r="G172" s="22" t="s">
        <v>3267</v>
      </c>
      <c r="H172" s="22" t="s">
        <v>2104</v>
      </c>
      <c r="I172" s="22" t="s">
        <v>14</v>
      </c>
      <c r="J172" s="22" t="s">
        <v>2096</v>
      </c>
      <c r="K172" s="22"/>
      <c r="L172" s="22"/>
      <c r="M172" s="22"/>
      <c r="N172" s="22"/>
      <c r="O172" s="22"/>
      <c r="P172" s="22"/>
      <c r="Q172" s="22"/>
      <c r="R172" s="22"/>
      <c r="S172" s="22"/>
      <c r="T172" s="22"/>
      <c r="U172" s="22"/>
      <c r="V172" s="22"/>
      <c r="W172" s="22"/>
      <c r="X172" s="22"/>
      <c r="Y172" s="22"/>
      <c r="Z172" s="22"/>
      <c r="AA172" s="22"/>
      <c r="AB172" s="22"/>
      <c r="AC172" s="22"/>
      <c r="AD172" s="22"/>
      <c r="AE172" s="22"/>
    </row>
    <row r="173">
      <c r="A173" s="22" t="s">
        <v>2091</v>
      </c>
      <c r="B173" s="167" t="str">
        <f>IF(ISBLANK(A173),"",VLOOKUP(A173,DOI_URL!$B$1:$C$74,2,FALSE()))</f>
        <v>https://drive.google.com/file/d/1HY1W3shMasu_iqB9m2DZ_pK0Sv2yXMhG/view?usp=sharing</v>
      </c>
      <c r="C173" s="22" t="s">
        <v>3311</v>
      </c>
      <c r="D173" s="22"/>
      <c r="E173" s="22" t="s">
        <v>2106</v>
      </c>
      <c r="F173" s="22" t="s">
        <v>2107</v>
      </c>
      <c r="G173" s="22" t="s">
        <v>3268</v>
      </c>
      <c r="H173" s="22" t="s">
        <v>2104</v>
      </c>
      <c r="I173" s="22" t="s">
        <v>14</v>
      </c>
      <c r="J173" s="22" t="s">
        <v>2096</v>
      </c>
      <c r="K173" s="22"/>
      <c r="L173" s="22"/>
      <c r="M173" s="22"/>
      <c r="N173" s="22"/>
      <c r="O173" s="22"/>
      <c r="P173" s="22"/>
      <c r="Q173" s="22"/>
      <c r="R173" s="22"/>
      <c r="S173" s="22"/>
      <c r="T173" s="22"/>
      <c r="U173" s="22"/>
      <c r="V173" s="22"/>
      <c r="W173" s="22"/>
      <c r="X173" s="22"/>
      <c r="Y173" s="22"/>
      <c r="Z173" s="22"/>
      <c r="AA173" s="22"/>
      <c r="AB173" s="22"/>
      <c r="AC173" s="22"/>
      <c r="AD173" s="22"/>
      <c r="AE173" s="22"/>
    </row>
    <row r="174">
      <c r="A174" s="22" t="s">
        <v>2091</v>
      </c>
      <c r="B174" s="167" t="str">
        <f>IF(ISBLANK(A174),"",VLOOKUP(A174,DOI_URL!$B$1:$C$74,2,FALSE()))</f>
        <v>https://drive.google.com/file/d/1HY1W3shMasu_iqB9m2DZ_pK0Sv2yXMhG/view?usp=sharing</v>
      </c>
      <c r="C174" s="22" t="s">
        <v>3311</v>
      </c>
      <c r="D174" s="22"/>
      <c r="E174" s="22" t="s">
        <v>2106</v>
      </c>
      <c r="F174" s="22" t="s">
        <v>2109</v>
      </c>
      <c r="G174" s="22" t="s">
        <v>2110</v>
      </c>
      <c r="H174" s="22" t="s">
        <v>2111</v>
      </c>
      <c r="I174" s="22" t="s">
        <v>14</v>
      </c>
      <c r="J174" s="22" t="s">
        <v>2096</v>
      </c>
      <c r="K174" s="22"/>
      <c r="L174" s="22"/>
      <c r="M174" s="22"/>
      <c r="N174" s="22"/>
      <c r="O174" s="22"/>
      <c r="P174" s="22"/>
      <c r="Q174" s="22"/>
      <c r="R174" s="22"/>
      <c r="S174" s="22"/>
      <c r="T174" s="22"/>
      <c r="U174" s="22"/>
      <c r="V174" s="22"/>
      <c r="W174" s="22"/>
      <c r="X174" s="22"/>
      <c r="Y174" s="22"/>
      <c r="Z174" s="22"/>
      <c r="AA174" s="22"/>
      <c r="AB174" s="22"/>
      <c r="AC174" s="22"/>
      <c r="AD174" s="22"/>
      <c r="AE174" s="22"/>
    </row>
    <row r="175">
      <c r="A175" s="22" t="s">
        <v>2091</v>
      </c>
      <c r="B175" s="167" t="str">
        <f>IF(ISBLANK(A175),"",VLOOKUP(A175,DOI_URL!$B$1:$C$74,2,FALSE()))</f>
        <v>https://drive.google.com/file/d/1HY1W3shMasu_iqB9m2DZ_pK0Sv2yXMhG/view?usp=sharing</v>
      </c>
      <c r="C175" s="22" t="s">
        <v>3311</v>
      </c>
      <c r="D175" s="22"/>
      <c r="E175" s="22" t="s">
        <v>2112</v>
      </c>
      <c r="F175" s="22" t="s">
        <v>2113</v>
      </c>
      <c r="G175" s="22" t="s">
        <v>2114</v>
      </c>
      <c r="H175" s="22" t="s">
        <v>2115</v>
      </c>
      <c r="I175" s="22" t="s">
        <v>54</v>
      </c>
      <c r="J175" s="22" t="s">
        <v>2096</v>
      </c>
      <c r="K175" s="22"/>
      <c r="L175" s="22"/>
      <c r="M175" s="22"/>
      <c r="N175" s="22"/>
      <c r="O175" s="22"/>
      <c r="P175" s="22"/>
      <c r="Q175" s="22"/>
      <c r="R175" s="22"/>
      <c r="S175" s="22"/>
      <c r="T175" s="22"/>
      <c r="U175" s="22"/>
      <c r="V175" s="22"/>
      <c r="W175" s="22"/>
      <c r="X175" s="22"/>
      <c r="Y175" s="22"/>
      <c r="Z175" s="22"/>
      <c r="AA175" s="22"/>
      <c r="AB175" s="22"/>
      <c r="AC175" s="22"/>
      <c r="AD175" s="22"/>
      <c r="AE175" s="22"/>
    </row>
    <row r="176">
      <c r="A176" s="22" t="s">
        <v>2091</v>
      </c>
      <c r="B176" s="167" t="str">
        <f>IF(ISBLANK(A176),"",VLOOKUP(A176,DOI_URL!$B$1:$C$74,2,FALSE()))</f>
        <v>https://drive.google.com/file/d/1HY1W3shMasu_iqB9m2DZ_pK0Sv2yXMhG/view?usp=sharing</v>
      </c>
      <c r="C176" s="22" t="s">
        <v>3311</v>
      </c>
      <c r="D176" s="22"/>
      <c r="E176" s="22" t="s">
        <v>2116</v>
      </c>
      <c r="F176" s="22"/>
      <c r="G176" s="27" t="s">
        <v>3269</v>
      </c>
      <c r="H176" s="22"/>
      <c r="I176" s="22" t="s">
        <v>44</v>
      </c>
      <c r="J176" s="22" t="s">
        <v>2096</v>
      </c>
      <c r="K176" s="22"/>
      <c r="L176" s="22"/>
      <c r="M176" s="22"/>
      <c r="N176" s="22"/>
      <c r="O176" s="22"/>
      <c r="P176" s="22"/>
      <c r="Q176" s="22"/>
      <c r="R176" s="22"/>
      <c r="S176" s="22"/>
      <c r="T176" s="22"/>
      <c r="U176" s="22"/>
      <c r="V176" s="22"/>
      <c r="W176" s="22"/>
      <c r="X176" s="22"/>
      <c r="Y176" s="22"/>
      <c r="Z176" s="22"/>
      <c r="AA176" s="22"/>
      <c r="AB176" s="22"/>
      <c r="AC176" s="22"/>
      <c r="AD176" s="22"/>
      <c r="AE176" s="22"/>
    </row>
    <row r="177">
      <c r="A177" s="22" t="s">
        <v>2091</v>
      </c>
      <c r="B177" s="167" t="str">
        <f>IF(ISBLANK(A177),"",VLOOKUP(A177,DOI_URL!$B$1:$C$74,2,FALSE()))</f>
        <v>https://drive.google.com/file/d/1HY1W3shMasu_iqB9m2DZ_pK0Sv2yXMhG/view?usp=sharing</v>
      </c>
      <c r="C177" s="22" t="s">
        <v>3311</v>
      </c>
      <c r="D177" s="22"/>
      <c r="E177" s="22" t="s">
        <v>2116</v>
      </c>
      <c r="F177" s="22" t="s">
        <v>2127</v>
      </c>
      <c r="G177" s="22" t="s">
        <v>2124</v>
      </c>
      <c r="H177" s="22" t="s">
        <v>3270</v>
      </c>
      <c r="I177" s="22" t="s">
        <v>20</v>
      </c>
      <c r="J177" s="22" t="s">
        <v>2096</v>
      </c>
      <c r="K177" s="22"/>
      <c r="L177" s="22"/>
      <c r="M177" s="22"/>
      <c r="N177" s="22"/>
      <c r="O177" s="22"/>
      <c r="P177" s="22"/>
      <c r="Q177" s="22"/>
      <c r="R177" s="22"/>
      <c r="S177" s="22"/>
      <c r="T177" s="22"/>
      <c r="U177" s="22"/>
      <c r="V177" s="22"/>
      <c r="W177" s="22"/>
      <c r="X177" s="22"/>
      <c r="Y177" s="22"/>
      <c r="Z177" s="22"/>
      <c r="AA177" s="22"/>
      <c r="AB177" s="22"/>
      <c r="AC177" s="22"/>
      <c r="AD177" s="22"/>
      <c r="AE177" s="22"/>
    </row>
    <row r="178">
      <c r="A178" s="22" t="s">
        <v>2091</v>
      </c>
      <c r="B178" s="167" t="str">
        <f>IF(ISBLANK(A178),"",VLOOKUP(A178,DOI_URL!$B$1:$C$74,2,FALSE()))</f>
        <v>https://drive.google.com/file/d/1HY1W3shMasu_iqB9m2DZ_pK0Sv2yXMhG/view?usp=sharing</v>
      </c>
      <c r="C178" s="22" t="s">
        <v>3311</v>
      </c>
      <c r="D178" s="22"/>
      <c r="E178" s="22" t="s">
        <v>2116</v>
      </c>
      <c r="F178" s="22" t="s">
        <v>2127</v>
      </c>
      <c r="G178" s="22" t="s">
        <v>2129</v>
      </c>
      <c r="H178" s="22" t="s">
        <v>2130</v>
      </c>
      <c r="I178" s="22" t="s">
        <v>20</v>
      </c>
      <c r="J178" s="22" t="s">
        <v>2096</v>
      </c>
      <c r="K178" s="22"/>
      <c r="L178" s="22"/>
      <c r="M178" s="22"/>
      <c r="N178" s="22"/>
      <c r="O178" s="22"/>
      <c r="P178" s="22"/>
      <c r="Q178" s="22"/>
      <c r="R178" s="22"/>
      <c r="S178" s="22"/>
      <c r="T178" s="22"/>
      <c r="U178" s="22"/>
      <c r="V178" s="22"/>
      <c r="W178" s="22"/>
      <c r="X178" s="22"/>
      <c r="Y178" s="22"/>
      <c r="Z178" s="22"/>
      <c r="AA178" s="22"/>
      <c r="AB178" s="22"/>
      <c r="AC178" s="22"/>
      <c r="AD178" s="22"/>
      <c r="AE178" s="22"/>
    </row>
    <row r="179">
      <c r="A179" s="22" t="s">
        <v>2091</v>
      </c>
      <c r="B179" s="167" t="str">
        <f>IF(ISBLANK(A179),"",VLOOKUP(A179,DOI_URL!$B$1:$C$74,2,FALSE()))</f>
        <v>https://drive.google.com/file/d/1HY1W3shMasu_iqB9m2DZ_pK0Sv2yXMhG/view?usp=sharing</v>
      </c>
      <c r="C179" s="22" t="s">
        <v>3311</v>
      </c>
      <c r="D179" s="22"/>
      <c r="E179" s="22" t="s">
        <v>2116</v>
      </c>
      <c r="F179" s="22" t="s">
        <v>2127</v>
      </c>
      <c r="G179" s="22" t="s">
        <v>2128</v>
      </c>
      <c r="H179" s="22"/>
      <c r="I179" s="22" t="s">
        <v>20</v>
      </c>
      <c r="J179" s="22" t="s">
        <v>2096</v>
      </c>
      <c r="K179" s="22"/>
      <c r="L179" s="22"/>
      <c r="M179" s="22"/>
      <c r="N179" s="22"/>
      <c r="O179" s="22"/>
      <c r="P179" s="22"/>
      <c r="Q179" s="22"/>
      <c r="R179" s="22"/>
      <c r="S179" s="22"/>
      <c r="T179" s="22"/>
      <c r="U179" s="22"/>
      <c r="V179" s="22"/>
      <c r="W179" s="22"/>
      <c r="X179" s="22"/>
      <c r="Y179" s="22"/>
      <c r="Z179" s="22"/>
      <c r="AA179" s="22"/>
      <c r="AB179" s="22"/>
      <c r="AC179" s="22"/>
      <c r="AD179" s="22"/>
      <c r="AE179" s="22"/>
    </row>
    <row r="180">
      <c r="A180" s="22" t="s">
        <v>2091</v>
      </c>
      <c r="B180" s="167" t="str">
        <f>IF(ISBLANK(A180),"",VLOOKUP(A180,DOI_URL!$B$1:$C$74,2,FALSE()))</f>
        <v>https://drive.google.com/file/d/1HY1W3shMasu_iqB9m2DZ_pK0Sv2yXMhG/view?usp=sharing</v>
      </c>
      <c r="C180" s="22" t="s">
        <v>3311</v>
      </c>
      <c r="D180" s="22"/>
      <c r="E180" s="22" t="s">
        <v>2116</v>
      </c>
      <c r="F180" s="22" t="s">
        <v>2127</v>
      </c>
      <c r="G180" s="22" t="s">
        <v>3271</v>
      </c>
      <c r="H180" s="22" t="s">
        <v>2143</v>
      </c>
      <c r="I180" s="22" t="s">
        <v>20</v>
      </c>
      <c r="J180" s="22" t="s">
        <v>2096</v>
      </c>
      <c r="K180" s="22"/>
      <c r="L180" s="22"/>
      <c r="M180" s="22"/>
      <c r="N180" s="22"/>
      <c r="O180" s="22"/>
      <c r="P180" s="22"/>
      <c r="Q180" s="22"/>
      <c r="R180" s="22"/>
      <c r="S180" s="22"/>
      <c r="T180" s="22"/>
      <c r="U180" s="22"/>
      <c r="V180" s="22"/>
      <c r="W180" s="22"/>
      <c r="X180" s="22"/>
      <c r="Y180" s="22"/>
      <c r="Z180" s="22"/>
      <c r="AA180" s="22"/>
      <c r="AB180" s="22"/>
      <c r="AC180" s="22"/>
      <c r="AD180" s="22"/>
      <c r="AE180" s="22"/>
    </row>
    <row r="181">
      <c r="A181" s="22" t="s">
        <v>2091</v>
      </c>
      <c r="B181" s="167" t="str">
        <f>IF(ISBLANK(A181),"",VLOOKUP(A181,DOI_URL!$B$1:$C$74,2,FALSE()))</f>
        <v>https://drive.google.com/file/d/1HY1W3shMasu_iqB9m2DZ_pK0Sv2yXMhG/view?usp=sharing</v>
      </c>
      <c r="C181" s="22" t="s">
        <v>3311</v>
      </c>
      <c r="D181" s="22" t="s">
        <v>3309</v>
      </c>
      <c r="E181" s="22" t="s">
        <v>2116</v>
      </c>
      <c r="F181" s="22" t="s">
        <v>2127</v>
      </c>
      <c r="G181" s="22" t="s">
        <v>3272</v>
      </c>
      <c r="H181" s="22" t="s">
        <v>3273</v>
      </c>
      <c r="I181" s="22" t="s">
        <v>20</v>
      </c>
      <c r="J181" s="22" t="s">
        <v>2096</v>
      </c>
      <c r="K181" s="22"/>
      <c r="L181" s="22"/>
      <c r="M181" s="22"/>
      <c r="N181" s="22"/>
      <c r="O181" s="22"/>
      <c r="P181" s="22"/>
      <c r="Q181" s="22"/>
      <c r="R181" s="22"/>
      <c r="S181" s="22"/>
      <c r="T181" s="22"/>
      <c r="U181" s="22"/>
      <c r="V181" s="22"/>
      <c r="W181" s="22"/>
      <c r="X181" s="22"/>
      <c r="Y181" s="22"/>
      <c r="Z181" s="22"/>
      <c r="AA181" s="22"/>
      <c r="AB181" s="22"/>
      <c r="AC181" s="22"/>
      <c r="AD181" s="22"/>
      <c r="AE181" s="22"/>
    </row>
    <row r="182">
      <c r="A182" s="22" t="s">
        <v>2091</v>
      </c>
      <c r="B182" s="167" t="str">
        <f>IF(ISBLANK(A182),"",VLOOKUP(A182,DOI_URL!$B$1:$C$74,2,FALSE()))</f>
        <v>https://drive.google.com/file/d/1HY1W3shMasu_iqB9m2DZ_pK0Sv2yXMhG/view?usp=sharing</v>
      </c>
      <c r="C182" s="22" t="s">
        <v>3311</v>
      </c>
      <c r="D182" s="22"/>
      <c r="E182" s="22" t="s">
        <v>2144</v>
      </c>
      <c r="F182" s="22"/>
      <c r="G182" s="27" t="s">
        <v>3274</v>
      </c>
      <c r="H182" s="22"/>
      <c r="I182" s="22" t="s">
        <v>2388</v>
      </c>
      <c r="J182" s="22" t="s">
        <v>2096</v>
      </c>
      <c r="K182" s="22"/>
      <c r="L182" s="22"/>
      <c r="M182" s="22"/>
      <c r="N182" s="22"/>
      <c r="O182" s="22"/>
      <c r="P182" s="22"/>
      <c r="Q182" s="22"/>
      <c r="R182" s="22"/>
      <c r="S182" s="22"/>
      <c r="T182" s="22"/>
      <c r="U182" s="22"/>
      <c r="V182" s="22"/>
      <c r="W182" s="22"/>
      <c r="X182" s="22"/>
      <c r="Y182" s="22"/>
      <c r="Z182" s="22"/>
      <c r="AA182" s="22"/>
      <c r="AB182" s="22"/>
      <c r="AC182" s="22"/>
      <c r="AD182" s="22"/>
      <c r="AE182" s="22"/>
    </row>
    <row r="183">
      <c r="A183" s="22" t="s">
        <v>2091</v>
      </c>
      <c r="B183" s="167" t="str">
        <f>IF(ISBLANK(A183),"",VLOOKUP(A183,DOI_URL!$B$1:$C$74,2,FALSE()))</f>
        <v>https://drive.google.com/file/d/1HY1W3shMasu_iqB9m2DZ_pK0Sv2yXMhG/view?usp=sharing</v>
      </c>
      <c r="C183" s="22" t="s">
        <v>3311</v>
      </c>
      <c r="D183" s="22"/>
      <c r="E183" s="22" t="s">
        <v>2134</v>
      </c>
      <c r="F183" s="22"/>
      <c r="G183" s="22" t="s">
        <v>2135</v>
      </c>
      <c r="H183" s="22" t="s">
        <v>2136</v>
      </c>
      <c r="I183" s="22" t="s">
        <v>39</v>
      </c>
      <c r="J183" s="22" t="s">
        <v>2096</v>
      </c>
      <c r="K183" s="22"/>
      <c r="L183" s="22"/>
      <c r="M183" s="22"/>
      <c r="N183" s="22"/>
      <c r="O183" s="22"/>
      <c r="P183" s="22"/>
      <c r="Q183" s="22"/>
      <c r="R183" s="22"/>
      <c r="S183" s="22"/>
      <c r="T183" s="22"/>
      <c r="U183" s="22"/>
      <c r="V183" s="22"/>
      <c r="W183" s="22"/>
      <c r="X183" s="22"/>
      <c r="Y183" s="22"/>
      <c r="Z183" s="22"/>
      <c r="AA183" s="22"/>
      <c r="AB183" s="22"/>
      <c r="AC183" s="22"/>
      <c r="AD183" s="22"/>
      <c r="AE183" s="22"/>
    </row>
    <row r="184">
      <c r="A184" s="22" t="s">
        <v>2091</v>
      </c>
      <c r="B184" s="167" t="str">
        <f>IF(ISBLANK(A184),"",VLOOKUP(A184,DOI_URL!$B$1:$C$74,2,FALSE()))</f>
        <v>https://drive.google.com/file/d/1HY1W3shMasu_iqB9m2DZ_pK0Sv2yXMhG/view?usp=sharing</v>
      </c>
      <c r="C184" s="22" t="s">
        <v>3311</v>
      </c>
      <c r="D184" s="22"/>
      <c r="E184" s="22" t="s">
        <v>2134</v>
      </c>
      <c r="F184" s="22"/>
      <c r="G184" s="22" t="s">
        <v>3275</v>
      </c>
      <c r="H184" s="22"/>
      <c r="I184" s="22" t="s">
        <v>39</v>
      </c>
      <c r="J184" s="22" t="s">
        <v>2096</v>
      </c>
      <c r="K184" s="22"/>
      <c r="L184" s="22"/>
      <c r="M184" s="22"/>
      <c r="N184" s="22"/>
      <c r="O184" s="22"/>
      <c r="P184" s="22"/>
      <c r="Q184" s="22"/>
      <c r="R184" s="22"/>
      <c r="S184" s="22"/>
      <c r="T184" s="22"/>
      <c r="U184" s="22"/>
      <c r="V184" s="22"/>
      <c r="W184" s="22"/>
      <c r="X184" s="22"/>
      <c r="Y184" s="22"/>
      <c r="Z184" s="22"/>
      <c r="AA184" s="22"/>
      <c r="AB184" s="22"/>
      <c r="AC184" s="22"/>
      <c r="AD184" s="22"/>
      <c r="AE184" s="22"/>
    </row>
    <row r="185">
      <c r="A185" s="22" t="s">
        <v>2091</v>
      </c>
      <c r="B185" s="167" t="str">
        <f>IF(ISBLANK(A185),"",VLOOKUP(A185,DOI_URL!$B$1:$C$74,2,FALSE()))</f>
        <v>https://drive.google.com/file/d/1HY1W3shMasu_iqB9m2DZ_pK0Sv2yXMhG/view?usp=sharing</v>
      </c>
      <c r="C185" s="22" t="s">
        <v>3311</v>
      </c>
      <c r="D185" s="22"/>
      <c r="E185" s="22" t="s">
        <v>3276</v>
      </c>
      <c r="F185" s="35" t="s">
        <v>3672</v>
      </c>
      <c r="G185" s="22" t="s">
        <v>2392</v>
      </c>
      <c r="H185" s="22" t="s">
        <v>364</v>
      </c>
      <c r="I185" s="22" t="s">
        <v>39</v>
      </c>
      <c r="J185" s="22" t="s">
        <v>2096</v>
      </c>
      <c r="K185" s="22"/>
      <c r="L185" s="22"/>
      <c r="M185" s="22"/>
      <c r="N185" s="22"/>
      <c r="O185" s="22"/>
      <c r="P185" s="22"/>
      <c r="Q185" s="22"/>
      <c r="R185" s="22"/>
      <c r="S185" s="22"/>
      <c r="T185" s="22"/>
      <c r="U185" s="22"/>
      <c r="V185" s="22"/>
      <c r="W185" s="22"/>
      <c r="X185" s="22"/>
      <c r="Y185" s="22"/>
      <c r="Z185" s="22"/>
      <c r="AA185" s="22"/>
      <c r="AB185" s="22"/>
      <c r="AC185" s="22"/>
      <c r="AD185" s="22"/>
      <c r="AE185" s="22"/>
    </row>
    <row r="186">
      <c r="A186" s="22" t="s">
        <v>1959</v>
      </c>
      <c r="B186" s="167" t="str">
        <f>IF(ISBLANK(A186),"",VLOOKUP(A186,DOI_URL!$B$1:$C$74,2,FALSE()))</f>
        <v>https://drive.google.com/file/d/1mr2bN6jlmO4CU1h1wbiKkBuSknoMUQtq/view?usp=sharing</v>
      </c>
      <c r="C186" s="22" t="s">
        <v>3311</v>
      </c>
      <c r="D186" s="22"/>
      <c r="E186" s="22" t="s">
        <v>3194</v>
      </c>
      <c r="F186" s="22" t="s">
        <v>1971</v>
      </c>
      <c r="G186" s="22" t="s">
        <v>3195</v>
      </c>
      <c r="H186" s="22" t="s">
        <v>3196</v>
      </c>
      <c r="I186" s="22" t="s">
        <v>2388</v>
      </c>
      <c r="J186" s="22" t="s">
        <v>3197</v>
      </c>
      <c r="K186" s="22"/>
      <c r="L186" s="22"/>
      <c r="M186" s="22"/>
      <c r="N186" s="22"/>
      <c r="O186" s="22"/>
      <c r="P186" s="22"/>
      <c r="Q186" s="22"/>
      <c r="R186" s="22"/>
      <c r="S186" s="22"/>
      <c r="T186" s="22"/>
      <c r="U186" s="22"/>
      <c r="V186" s="22"/>
      <c r="W186" s="22"/>
      <c r="X186" s="22"/>
      <c r="Y186" s="22"/>
      <c r="Z186" s="22"/>
      <c r="AA186" s="22"/>
      <c r="AB186" s="22"/>
      <c r="AC186" s="22"/>
      <c r="AD186" s="22"/>
      <c r="AE186" s="22"/>
    </row>
    <row r="187">
      <c r="A187" s="22" t="s">
        <v>1959</v>
      </c>
      <c r="B187" s="167" t="str">
        <f>IF(ISBLANK(A187),"",VLOOKUP(A187,DOI_URL!$B$1:$C$74,2,FALSE()))</f>
        <v>https://drive.google.com/file/d/1mr2bN6jlmO4CU1h1wbiKkBuSknoMUQtq/view?usp=sharing</v>
      </c>
      <c r="C187" s="22" t="s">
        <v>3311</v>
      </c>
      <c r="D187" s="22"/>
      <c r="E187" s="22" t="s">
        <v>3199</v>
      </c>
      <c r="F187" s="22" t="s">
        <v>1971</v>
      </c>
      <c r="G187" s="22" t="s">
        <v>3200</v>
      </c>
      <c r="H187" s="181" t="s">
        <v>3201</v>
      </c>
      <c r="I187" s="22" t="s">
        <v>2388</v>
      </c>
      <c r="J187" s="22" t="s">
        <v>3197</v>
      </c>
      <c r="K187" s="22"/>
      <c r="L187" s="22"/>
      <c r="M187" s="22"/>
      <c r="N187" s="22"/>
      <c r="O187" s="22"/>
      <c r="P187" s="22"/>
      <c r="Q187" s="22"/>
      <c r="R187" s="22"/>
      <c r="S187" s="22"/>
      <c r="T187" s="22"/>
      <c r="U187" s="22"/>
      <c r="V187" s="22"/>
      <c r="W187" s="22"/>
      <c r="X187" s="22"/>
      <c r="Y187" s="22"/>
      <c r="Z187" s="22"/>
      <c r="AA187" s="22"/>
      <c r="AB187" s="22"/>
      <c r="AC187" s="22"/>
      <c r="AD187" s="22"/>
      <c r="AE187" s="22"/>
    </row>
    <row r="188">
      <c r="A188" s="22" t="s">
        <v>1959</v>
      </c>
      <c r="B188" s="167" t="str">
        <f>IF(ISBLANK(A188),"",VLOOKUP(A188,DOI_URL!$B$1:$C$74,2,FALSE()))</f>
        <v>https://drive.google.com/file/d/1mr2bN6jlmO4CU1h1wbiKkBuSknoMUQtq/view?usp=sharing</v>
      </c>
      <c r="C188" s="22" t="s">
        <v>3311</v>
      </c>
      <c r="D188" s="22"/>
      <c r="E188" s="22" t="s">
        <v>3199</v>
      </c>
      <c r="F188" s="22" t="s">
        <v>1971</v>
      </c>
      <c r="G188" s="22" t="s">
        <v>1972</v>
      </c>
      <c r="H188" s="22" t="s">
        <v>1973</v>
      </c>
      <c r="I188" s="22" t="s">
        <v>20</v>
      </c>
      <c r="J188" s="22" t="s">
        <v>3197</v>
      </c>
      <c r="K188" s="22"/>
      <c r="L188" s="22"/>
      <c r="M188" s="22"/>
      <c r="N188" s="22"/>
      <c r="O188" s="22"/>
      <c r="P188" s="22"/>
      <c r="Q188" s="22"/>
      <c r="R188" s="22"/>
      <c r="S188" s="22"/>
      <c r="T188" s="22"/>
      <c r="U188" s="22"/>
      <c r="V188" s="22"/>
      <c r="W188" s="22"/>
      <c r="X188" s="22"/>
      <c r="Y188" s="22"/>
      <c r="Z188" s="22"/>
      <c r="AA188" s="22"/>
      <c r="AB188" s="22"/>
      <c r="AC188" s="22"/>
      <c r="AD188" s="22"/>
      <c r="AE188" s="22"/>
    </row>
    <row r="189">
      <c r="A189" s="22" t="s">
        <v>1959</v>
      </c>
      <c r="B189" s="167" t="str">
        <f>IF(ISBLANK(A189),"",VLOOKUP(A189,DOI_URL!$B$1:$C$74,2,FALSE()))</f>
        <v>https://drive.google.com/file/d/1mr2bN6jlmO4CU1h1wbiKkBuSknoMUQtq/view?usp=sharing</v>
      </c>
      <c r="C189" s="22" t="s">
        <v>3311</v>
      </c>
      <c r="D189" s="22"/>
      <c r="E189" s="22" t="s">
        <v>3199</v>
      </c>
      <c r="F189" s="22" t="s">
        <v>1974</v>
      </c>
      <c r="G189" s="22" t="s">
        <v>1975</v>
      </c>
      <c r="H189" s="22" t="s">
        <v>3193</v>
      </c>
      <c r="I189" s="22" t="s">
        <v>14</v>
      </c>
      <c r="J189" s="22" t="s">
        <v>3197</v>
      </c>
      <c r="K189" s="22"/>
      <c r="L189" s="22"/>
      <c r="M189" s="22"/>
      <c r="N189" s="22"/>
      <c r="O189" s="22"/>
      <c r="P189" s="22"/>
      <c r="Q189" s="22"/>
      <c r="R189" s="22"/>
      <c r="S189" s="22"/>
      <c r="T189" s="22"/>
      <c r="U189" s="22"/>
      <c r="V189" s="22"/>
      <c r="W189" s="22"/>
      <c r="X189" s="22"/>
      <c r="Y189" s="22"/>
      <c r="Z189" s="22"/>
      <c r="AA189" s="22"/>
      <c r="AB189" s="22"/>
      <c r="AC189" s="22"/>
      <c r="AD189" s="22"/>
      <c r="AE189" s="22"/>
    </row>
    <row r="190">
      <c r="A190" s="22" t="s">
        <v>1959</v>
      </c>
      <c r="B190" s="167" t="str">
        <f>IF(ISBLANK(A190),"",VLOOKUP(A190,DOI_URL!$B$1:$C$74,2,FALSE()))</f>
        <v>https://drive.google.com/file/d/1mr2bN6jlmO4CU1h1wbiKkBuSknoMUQtq/view?usp=sharing</v>
      </c>
      <c r="C190" s="22" t="s">
        <v>3311</v>
      </c>
      <c r="D190" s="22"/>
      <c r="E190" s="22" t="s">
        <v>3199</v>
      </c>
      <c r="F190" s="22" t="s">
        <v>1974</v>
      </c>
      <c r="G190" s="22" t="s">
        <v>3202</v>
      </c>
      <c r="H190" s="22" t="s">
        <v>3203</v>
      </c>
      <c r="I190" s="22" t="s">
        <v>14</v>
      </c>
      <c r="J190" s="22" t="s">
        <v>3197</v>
      </c>
      <c r="K190" s="22"/>
      <c r="L190" s="22"/>
      <c r="M190" s="22"/>
      <c r="N190" s="22"/>
      <c r="O190" s="22"/>
      <c r="P190" s="22"/>
      <c r="Q190" s="22"/>
      <c r="R190" s="22"/>
      <c r="S190" s="22"/>
      <c r="T190" s="22"/>
      <c r="U190" s="22"/>
      <c r="V190" s="22"/>
      <c r="W190" s="22"/>
      <c r="X190" s="22"/>
      <c r="Y190" s="22"/>
      <c r="Z190" s="22"/>
      <c r="AA190" s="22"/>
      <c r="AB190" s="22"/>
      <c r="AC190" s="22"/>
      <c r="AD190" s="22"/>
      <c r="AE190" s="22"/>
    </row>
    <row r="191">
      <c r="A191" s="22" t="s">
        <v>1959</v>
      </c>
      <c r="B191" s="167" t="str">
        <f>IF(ISBLANK(A191),"",VLOOKUP(A191,DOI_URL!$B$1:$C$74,2,FALSE()))</f>
        <v>https://drive.google.com/file/d/1mr2bN6jlmO4CU1h1wbiKkBuSknoMUQtq/view?usp=sharing</v>
      </c>
      <c r="C191" s="22" t="s">
        <v>3311</v>
      </c>
      <c r="D191" s="22"/>
      <c r="E191" s="22" t="s">
        <v>3204</v>
      </c>
      <c r="F191" s="22" t="s">
        <v>1971</v>
      </c>
      <c r="G191" s="22" t="s">
        <v>3205</v>
      </c>
      <c r="H191" s="22" t="s">
        <v>3206</v>
      </c>
      <c r="I191" s="22" t="s">
        <v>20</v>
      </c>
      <c r="J191" s="22" t="s">
        <v>3197</v>
      </c>
      <c r="K191" s="22"/>
      <c r="L191" s="22"/>
      <c r="M191" s="22"/>
      <c r="N191" s="22"/>
      <c r="O191" s="22"/>
      <c r="P191" s="22"/>
      <c r="Q191" s="22"/>
      <c r="R191" s="22"/>
      <c r="S191" s="22"/>
      <c r="T191" s="22"/>
      <c r="U191" s="22"/>
      <c r="V191" s="22"/>
      <c r="W191" s="22"/>
      <c r="X191" s="22"/>
      <c r="Y191" s="22"/>
      <c r="Z191" s="22"/>
      <c r="AA191" s="22"/>
      <c r="AB191" s="22"/>
      <c r="AC191" s="22"/>
      <c r="AD191" s="22"/>
      <c r="AE191" s="22"/>
    </row>
    <row r="192">
      <c r="A192" s="22" t="s">
        <v>1959</v>
      </c>
      <c r="B192" s="167" t="str">
        <f>IF(ISBLANK(A192),"",VLOOKUP(A192,DOI_URL!$B$1:$C$74,2,FALSE()))</f>
        <v>https://drive.google.com/file/d/1mr2bN6jlmO4CU1h1wbiKkBuSknoMUQtq/view?usp=sharing</v>
      </c>
      <c r="C192" s="22" t="s">
        <v>3311</v>
      </c>
      <c r="D192" s="22"/>
      <c r="E192" s="22" t="s">
        <v>3207</v>
      </c>
      <c r="F192" s="22" t="s">
        <v>1974</v>
      </c>
      <c r="G192" s="22" t="s">
        <v>1983</v>
      </c>
      <c r="H192" s="22"/>
      <c r="I192" s="22" t="s">
        <v>106</v>
      </c>
      <c r="J192" s="22" t="s">
        <v>3197</v>
      </c>
      <c r="K192" s="22"/>
      <c r="L192" s="22"/>
      <c r="M192" s="22"/>
      <c r="N192" s="22"/>
      <c r="O192" s="22"/>
      <c r="P192" s="22"/>
      <c r="Q192" s="22"/>
      <c r="R192" s="22"/>
      <c r="S192" s="22"/>
      <c r="T192" s="22"/>
      <c r="U192" s="22"/>
      <c r="V192" s="22"/>
      <c r="W192" s="22"/>
      <c r="X192" s="22"/>
      <c r="Y192" s="22"/>
      <c r="Z192" s="22"/>
      <c r="AA192" s="22"/>
      <c r="AB192" s="22"/>
      <c r="AC192" s="22"/>
      <c r="AD192" s="22"/>
      <c r="AE192" s="22"/>
    </row>
    <row r="193">
      <c r="A193" s="22" t="s">
        <v>1959</v>
      </c>
      <c r="B193" s="167" t="str">
        <f>IF(ISBLANK(A193),"",VLOOKUP(A193,DOI_URL!$B$1:$C$74,2,FALSE()))</f>
        <v>https://drive.google.com/file/d/1mr2bN6jlmO4CU1h1wbiKkBuSknoMUQtq/view?usp=sharing</v>
      </c>
      <c r="C193" s="22" t="s">
        <v>3311</v>
      </c>
      <c r="D193" s="22"/>
      <c r="E193" s="22" t="s">
        <v>3208</v>
      </c>
      <c r="F193" s="22" t="s">
        <v>1971</v>
      </c>
      <c r="G193" s="22" t="s">
        <v>3685</v>
      </c>
      <c r="H193" s="22" t="s">
        <v>3210</v>
      </c>
      <c r="I193" s="22" t="s">
        <v>14</v>
      </c>
      <c r="J193" s="22" t="s">
        <v>3197</v>
      </c>
      <c r="K193" s="22"/>
      <c r="L193" s="22"/>
      <c r="M193" s="22"/>
      <c r="N193" s="22"/>
      <c r="O193" s="22"/>
      <c r="P193" s="22"/>
      <c r="Q193" s="22"/>
      <c r="R193" s="22"/>
      <c r="S193" s="22"/>
      <c r="T193" s="22"/>
      <c r="U193" s="22"/>
      <c r="V193" s="22"/>
      <c r="W193" s="22"/>
      <c r="X193" s="22"/>
      <c r="Y193" s="22"/>
      <c r="Z193" s="22"/>
      <c r="AA193" s="22"/>
      <c r="AB193" s="22"/>
      <c r="AC193" s="22"/>
      <c r="AD193" s="22"/>
      <c r="AE193" s="22"/>
    </row>
    <row r="194">
      <c r="A194" s="22" t="s">
        <v>1959</v>
      </c>
      <c r="B194" s="167" t="str">
        <f>IF(ISBLANK(A194),"",VLOOKUP(A194,DOI_URL!$B$1:$C$74,2,FALSE()))</f>
        <v>https://drive.google.com/file/d/1mr2bN6jlmO4CU1h1wbiKkBuSknoMUQtq/view?usp=sharing</v>
      </c>
      <c r="C194" s="22" t="s">
        <v>3311</v>
      </c>
      <c r="D194" s="22"/>
      <c r="E194" s="22" t="s">
        <v>3208</v>
      </c>
      <c r="F194" s="22"/>
      <c r="G194" s="22" t="s">
        <v>1986</v>
      </c>
      <c r="H194" s="22" t="s">
        <v>1987</v>
      </c>
      <c r="I194" s="22" t="s">
        <v>39</v>
      </c>
      <c r="J194" s="22" t="s">
        <v>3197</v>
      </c>
      <c r="K194" s="22"/>
      <c r="L194" s="22"/>
      <c r="M194" s="22"/>
      <c r="N194" s="22"/>
      <c r="O194" s="22"/>
      <c r="P194" s="22"/>
      <c r="Q194" s="22"/>
      <c r="R194" s="22"/>
      <c r="S194" s="22"/>
      <c r="T194" s="22"/>
      <c r="U194" s="22"/>
      <c r="V194" s="22"/>
      <c r="W194" s="22"/>
      <c r="X194" s="22"/>
      <c r="Y194" s="22"/>
      <c r="Z194" s="22"/>
      <c r="AA194" s="22"/>
      <c r="AB194" s="22"/>
      <c r="AC194" s="22"/>
      <c r="AD194" s="22"/>
      <c r="AE194" s="22"/>
    </row>
    <row r="195">
      <c r="A195" s="22" t="s">
        <v>1959</v>
      </c>
      <c r="B195" s="167" t="str">
        <f>IF(ISBLANK(A195),"",VLOOKUP(A195,DOI_URL!$B$1:$C$74,2,FALSE()))</f>
        <v>https://drive.google.com/file/d/1mr2bN6jlmO4CU1h1wbiKkBuSknoMUQtq/view?usp=sharing</v>
      </c>
      <c r="C195" s="22" t="s">
        <v>3311</v>
      </c>
      <c r="D195" s="22"/>
      <c r="E195" s="22" t="s">
        <v>3208</v>
      </c>
      <c r="F195" s="22"/>
      <c r="G195" s="22" t="s">
        <v>933</v>
      </c>
      <c r="H195" s="22" t="s">
        <v>3211</v>
      </c>
      <c r="I195" s="22" t="s">
        <v>39</v>
      </c>
      <c r="J195" s="22" t="s">
        <v>3197</v>
      </c>
      <c r="K195" s="22"/>
      <c r="L195" s="22"/>
      <c r="M195" s="22"/>
      <c r="N195" s="22"/>
      <c r="O195" s="22"/>
      <c r="P195" s="22"/>
      <c r="Q195" s="22"/>
      <c r="R195" s="22"/>
      <c r="S195" s="22"/>
      <c r="T195" s="22"/>
      <c r="U195" s="22"/>
      <c r="V195" s="22"/>
      <c r="W195" s="22"/>
      <c r="X195" s="22"/>
      <c r="Y195" s="22"/>
      <c r="Z195" s="22"/>
      <c r="AA195" s="22"/>
      <c r="AB195" s="22"/>
      <c r="AC195" s="22"/>
      <c r="AD195" s="22"/>
      <c r="AE195" s="22"/>
    </row>
    <row r="196">
      <c r="A196" s="22" t="s">
        <v>1959</v>
      </c>
      <c r="B196" s="167" t="str">
        <f>IF(ISBLANK(A196),"",VLOOKUP(A196,DOI_URL!$B$1:$C$74,2,FALSE()))</f>
        <v>https://drive.google.com/file/d/1mr2bN6jlmO4CU1h1wbiKkBuSknoMUQtq/view?usp=sharing</v>
      </c>
      <c r="C196" s="22" t="s">
        <v>3311</v>
      </c>
      <c r="D196" s="22"/>
      <c r="E196" s="22" t="s">
        <v>3212</v>
      </c>
      <c r="F196" s="22"/>
      <c r="G196" s="22" t="s">
        <v>1993</v>
      </c>
      <c r="H196" s="22" t="s">
        <v>3213</v>
      </c>
      <c r="I196" s="22" t="s">
        <v>39</v>
      </c>
      <c r="J196" s="22" t="s">
        <v>3197</v>
      </c>
      <c r="K196" s="22"/>
      <c r="L196" s="22"/>
      <c r="M196" s="22"/>
      <c r="N196" s="22"/>
      <c r="O196" s="22"/>
      <c r="P196" s="22"/>
      <c r="Q196" s="22"/>
      <c r="R196" s="22"/>
      <c r="S196" s="22"/>
      <c r="T196" s="22"/>
      <c r="U196" s="22"/>
      <c r="V196" s="22"/>
      <c r="W196" s="22"/>
      <c r="X196" s="22"/>
      <c r="Y196" s="22"/>
      <c r="Z196" s="22"/>
      <c r="AA196" s="22"/>
      <c r="AB196" s="22"/>
      <c r="AC196" s="22"/>
      <c r="AD196" s="22"/>
      <c r="AE196" s="22"/>
    </row>
    <row r="197">
      <c r="A197" s="22" t="s">
        <v>1959</v>
      </c>
      <c r="B197" s="167" t="str">
        <f>IF(ISBLANK(A197),"",VLOOKUP(A197,DOI_URL!$B$1:$C$74,2,FALSE()))</f>
        <v>https://drive.google.com/file/d/1mr2bN6jlmO4CU1h1wbiKkBuSknoMUQtq/view?usp=sharing</v>
      </c>
      <c r="C197" s="22" t="s">
        <v>3311</v>
      </c>
      <c r="D197" s="22"/>
      <c r="E197" s="22" t="s">
        <v>3214</v>
      </c>
      <c r="F197" s="35" t="s">
        <v>914</v>
      </c>
      <c r="G197" s="22" t="s">
        <v>3215</v>
      </c>
      <c r="H197" s="22" t="s">
        <v>3216</v>
      </c>
      <c r="I197" s="22" t="s">
        <v>39</v>
      </c>
      <c r="J197" s="22" t="s">
        <v>3197</v>
      </c>
      <c r="K197" s="22"/>
      <c r="L197" s="22"/>
      <c r="M197" s="22"/>
      <c r="N197" s="22"/>
      <c r="O197" s="22"/>
      <c r="P197" s="22"/>
      <c r="Q197" s="22"/>
      <c r="R197" s="22"/>
      <c r="S197" s="22"/>
      <c r="T197" s="22"/>
      <c r="U197" s="22"/>
      <c r="V197" s="22"/>
      <c r="W197" s="22"/>
      <c r="X197" s="22"/>
      <c r="Y197" s="22"/>
      <c r="Z197" s="22"/>
      <c r="AA197" s="22"/>
      <c r="AB197" s="22"/>
      <c r="AC197" s="22"/>
      <c r="AD197" s="22"/>
      <c r="AE197" s="22"/>
    </row>
    <row r="198">
      <c r="A198" s="22" t="s">
        <v>1997</v>
      </c>
      <c r="B198" s="167" t="str">
        <f>IF(ISBLANK(A198),"",VLOOKUP(A198,DOI_URL!$B$1:$C$74,2,FALSE()))</f>
        <v>https://drive.google.com/file/d/1sfBXkX4hZgtI9t94E3aRMJvWqkPFIsS3/view?usp=sharing</v>
      </c>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c r="AA198" s="22"/>
      <c r="AB198" s="22"/>
      <c r="AC198" s="22"/>
      <c r="AD198" s="22"/>
      <c r="AE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c r="AA199" s="22"/>
      <c r="AB199" s="22"/>
      <c r="AC199" s="22"/>
      <c r="AD199" s="22"/>
      <c r="AE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c r="AA201" s="22"/>
      <c r="AB201" s="22"/>
      <c r="AC201" s="22"/>
      <c r="AD201" s="22"/>
      <c r="AE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c r="AA202" s="22"/>
      <c r="AB202" s="22"/>
      <c r="AC202" s="22"/>
      <c r="AD202" s="22"/>
      <c r="AE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c r="AA203" s="22"/>
      <c r="AB203" s="22"/>
      <c r="AC203" s="22"/>
      <c r="AD203" s="22"/>
      <c r="AE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c r="AA204" s="22"/>
      <c r="AB204" s="22"/>
      <c r="AC204" s="22"/>
      <c r="AD204" s="22"/>
      <c r="AE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c r="AA205" s="22"/>
      <c r="AB205" s="22"/>
      <c r="AC205" s="22"/>
      <c r="AD205" s="22"/>
      <c r="AE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c r="AA206" s="22"/>
      <c r="AB206" s="22"/>
      <c r="AC206" s="22"/>
      <c r="AD206" s="22"/>
      <c r="AE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c r="AA207" s="22"/>
      <c r="AB207" s="22"/>
      <c r="AC207" s="22"/>
      <c r="AD207" s="22"/>
      <c r="AE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c r="AA208" s="22"/>
      <c r="AB208" s="22"/>
      <c r="AC208" s="22"/>
      <c r="AD208" s="22"/>
      <c r="AE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c r="AA209" s="22"/>
      <c r="AB209" s="22"/>
      <c r="AC209" s="22"/>
      <c r="AD209" s="22"/>
      <c r="AE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c r="AA210" s="22"/>
      <c r="AB210" s="22"/>
      <c r="AC210" s="22"/>
      <c r="AD210" s="22"/>
      <c r="AE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c r="AA211" s="22"/>
      <c r="AB211" s="22"/>
      <c r="AC211" s="22"/>
      <c r="AD211" s="22"/>
      <c r="AE211" s="22"/>
    </row>
    <row r="212">
      <c r="A212" s="22"/>
      <c r="B212" s="22" t="str">
        <f>IF(ISBLANK(A212),"",VLOOKUP(A212,DOI_URL!$B$1:$C$74,2,FALSE()))</f>
        <v/>
      </c>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c r="AA212" s="22"/>
      <c r="AB212" s="22"/>
      <c r="AC212" s="22"/>
      <c r="AD212" s="22"/>
      <c r="AE212" s="22"/>
    </row>
    <row r="213">
      <c r="A213" s="22"/>
      <c r="B213" s="22" t="str">
        <f>IF(ISBLANK(A213),"",VLOOKUP(A213,DOI_URL!$B$1:$C$74,2,FALSE()))</f>
        <v/>
      </c>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c r="AA213" s="22"/>
      <c r="AB213" s="22"/>
      <c r="AC213" s="22"/>
      <c r="AD213" s="22"/>
      <c r="AE213" s="22"/>
    </row>
    <row r="214">
      <c r="A214" s="22"/>
      <c r="B214" s="22" t="str">
        <f>IF(ISBLANK(A214),"",VLOOKUP(A214,DOI_URL!$B$1:$C$74,2,FALSE()))</f>
        <v/>
      </c>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c r="AA214" s="22"/>
      <c r="AB214" s="22"/>
      <c r="AC214" s="22"/>
      <c r="AD214" s="22"/>
      <c r="AE214" s="22"/>
    </row>
    <row r="215">
      <c r="A215" s="22"/>
      <c r="B215" s="22" t="str">
        <f>IF(ISBLANK(A215),"",VLOOKUP(A215,DOI_URL!$B$1:$C$74,2,FALSE()))</f>
        <v/>
      </c>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c r="AA215" s="22"/>
      <c r="AB215" s="22"/>
      <c r="AC215" s="22"/>
      <c r="AD215" s="22"/>
      <c r="AE215" s="22"/>
    </row>
    <row r="216">
      <c r="A216" s="22"/>
      <c r="B216" s="22" t="str">
        <f>IF(ISBLANK(A216),"",VLOOKUP(A216,DOI_URL!$B$1:$C$74,2,FALSE()))</f>
        <v/>
      </c>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c r="AA216" s="22"/>
      <c r="AB216" s="22"/>
      <c r="AC216" s="22"/>
      <c r="AD216" s="22"/>
      <c r="AE216" s="22"/>
    </row>
    <row r="217">
      <c r="A217" s="22"/>
      <c r="B217" s="22" t="str">
        <f>IF(ISBLANK(A217),"",VLOOKUP(A217,DOI_URL!$B$1:$C$74,2,FALSE()))</f>
        <v/>
      </c>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c r="AA217" s="22"/>
      <c r="AB217" s="22"/>
      <c r="AC217" s="22"/>
      <c r="AD217" s="22"/>
      <c r="AE217" s="22"/>
    </row>
    <row r="218">
      <c r="A218" s="22"/>
      <c r="B218" s="22" t="str">
        <f>IF(ISBLANK(A218),"",VLOOKUP(A218,DOI_URL!$B$1:$C$74,2,FALSE()))</f>
        <v/>
      </c>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c r="AA218" s="22"/>
      <c r="AB218" s="22"/>
      <c r="AC218" s="22"/>
      <c r="AD218" s="22"/>
      <c r="AE218" s="22"/>
    </row>
    <row r="219">
      <c r="A219" s="22"/>
      <c r="B219" s="22" t="str">
        <f>IF(ISBLANK(A219),"",VLOOKUP(A219,DOI_URL!$B$1:$C$74,2,FALSE()))</f>
        <v/>
      </c>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c r="AA219" s="22"/>
      <c r="AB219" s="22"/>
      <c r="AC219" s="22"/>
      <c r="AD219" s="22"/>
      <c r="AE219" s="22"/>
    </row>
    <row r="220">
      <c r="A220" s="22"/>
      <c r="B220" s="22" t="str">
        <f>IF(ISBLANK(A220),"",VLOOKUP(A220,DOI_URL!$B$1:$C$74,2,FALSE()))</f>
        <v/>
      </c>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c r="AA220" s="22"/>
      <c r="AB220" s="22"/>
      <c r="AC220" s="22"/>
      <c r="AD220" s="22"/>
      <c r="AE220" s="22"/>
    </row>
    <row r="221">
      <c r="A221" s="22"/>
      <c r="B221" s="22" t="str">
        <f>IF(ISBLANK(A221),"",VLOOKUP(A221,DOI_URL!$B$1:$C$74,2,FALSE()))</f>
        <v/>
      </c>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c r="AA221" s="22"/>
      <c r="AB221" s="22"/>
      <c r="AC221" s="22"/>
      <c r="AD221" s="22"/>
      <c r="AE221" s="22"/>
    </row>
    <row r="222">
      <c r="A222" s="22"/>
      <c r="B222" s="22" t="str">
        <f>IF(ISBLANK(A222),"",VLOOKUP(A222,DOI_URL!$B$1:$C$74,2,FALSE()))</f>
        <v/>
      </c>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c r="AA222" s="22"/>
      <c r="AB222" s="22"/>
      <c r="AC222" s="22"/>
      <c r="AD222" s="22"/>
      <c r="AE222" s="22"/>
    </row>
    <row r="223">
      <c r="A223" s="22"/>
      <c r="B223" s="22" t="str">
        <f>IF(ISBLANK(A223),"",VLOOKUP(A223,DOI_URL!$B$1:$C$74,2,FALSE()))</f>
        <v/>
      </c>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c r="AA223" s="22"/>
      <c r="AB223" s="22"/>
      <c r="AC223" s="22"/>
      <c r="AD223" s="22"/>
      <c r="AE223" s="22"/>
    </row>
    <row r="224">
      <c r="A224" s="22"/>
      <c r="B224" s="22" t="str">
        <f>IF(ISBLANK(A224),"",VLOOKUP(A224,DOI_URL!$B$1:$C$74,2,FALSE()))</f>
        <v/>
      </c>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c r="AA224" s="22"/>
      <c r="AB224" s="22"/>
      <c r="AC224" s="22"/>
      <c r="AD224" s="22"/>
      <c r="AE224" s="22"/>
    </row>
    <row r="225">
      <c r="A225" s="22"/>
      <c r="B225" s="22" t="str">
        <f>IF(ISBLANK(A225),"",VLOOKUP(A225,DOI_URL!$B$1:$C$74,2,FALSE()))</f>
        <v/>
      </c>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row>
    <row r="226">
      <c r="A226" s="22"/>
      <c r="B226" s="22" t="str">
        <f>IF(ISBLANK(A226),"",VLOOKUP(A226,DOI_URL!$B$1:$C$74,2,FALSE()))</f>
        <v/>
      </c>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c r="AA226" s="22"/>
      <c r="AB226" s="22"/>
      <c r="AC226" s="22"/>
      <c r="AD226" s="22"/>
      <c r="AE226" s="22"/>
    </row>
    <row r="227">
      <c r="A227" s="22"/>
      <c r="B227" s="22" t="str">
        <f>IF(ISBLANK(A227),"",VLOOKUP(A227,DOI_URL!$B$1:$C$74,2,FALSE()))</f>
        <v/>
      </c>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c r="AA227" s="22"/>
      <c r="AB227" s="22"/>
      <c r="AC227" s="22"/>
      <c r="AD227" s="22"/>
      <c r="AE227" s="22"/>
    </row>
    <row r="228">
      <c r="A228" s="22"/>
      <c r="B228" s="22" t="str">
        <f>IF(ISBLANK(A228),"",VLOOKUP(A228,DOI_URL!$B$1:$C$74,2,FALSE()))</f>
        <v/>
      </c>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c r="AA228" s="22"/>
      <c r="AB228" s="22"/>
      <c r="AC228" s="22"/>
      <c r="AD228" s="22"/>
      <c r="AE228" s="22"/>
    </row>
    <row r="229">
      <c r="A229" s="22"/>
      <c r="B229" s="22" t="str">
        <f>IF(ISBLANK(A229),"",VLOOKUP(A229,DOI_URL!$B$1:$C$74,2,FALSE()))</f>
        <v/>
      </c>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c r="AA229" s="22"/>
      <c r="AB229" s="22"/>
      <c r="AC229" s="22"/>
      <c r="AD229" s="22"/>
      <c r="AE229" s="22"/>
    </row>
    <row r="230">
      <c r="A230" s="22"/>
      <c r="B230" s="22" t="str">
        <f>IF(ISBLANK(A230),"",VLOOKUP(A230,DOI_URL!$B$1:$C$74,2,FALSE()))</f>
        <v/>
      </c>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c r="AA230" s="22"/>
      <c r="AB230" s="22"/>
      <c r="AC230" s="22"/>
      <c r="AD230" s="22"/>
      <c r="AE230" s="22"/>
    </row>
    <row r="231">
      <c r="A231" s="22"/>
      <c r="B231" s="22" t="str">
        <f>IF(ISBLANK(A231),"",VLOOKUP(A231,DOI_URL!$B$1:$C$74,2,FALSE()))</f>
        <v/>
      </c>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c r="AA231" s="22"/>
      <c r="AB231" s="22"/>
      <c r="AC231" s="22"/>
      <c r="AD231" s="22"/>
      <c r="AE231" s="22"/>
    </row>
    <row r="232">
      <c r="A232" s="22"/>
      <c r="B232" s="22" t="str">
        <f>IF(ISBLANK(A232),"",VLOOKUP(A232,DOI_URL!$B$1:$C$74,2,FALSE()))</f>
        <v/>
      </c>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c r="AA232" s="22"/>
      <c r="AB232" s="22"/>
      <c r="AC232" s="22"/>
      <c r="AD232" s="22"/>
      <c r="AE232" s="22"/>
    </row>
    <row r="233">
      <c r="A233" s="22"/>
      <c r="B233" s="22" t="str">
        <f>IF(ISBLANK(A233),"",VLOOKUP(A233,DOI_URL!$B$1:$C$74,2,FALSE()))</f>
        <v/>
      </c>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c r="AA233" s="22"/>
      <c r="AB233" s="22"/>
      <c r="AC233" s="22"/>
      <c r="AD233" s="22"/>
      <c r="AE233" s="22"/>
    </row>
    <row r="234">
      <c r="A234" s="22"/>
      <c r="B234" s="22" t="str">
        <f>IF(ISBLANK(A234),"",VLOOKUP(A234,DOI_URL!$B$1:$C$74,2,FALSE()))</f>
        <v/>
      </c>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c r="AA234" s="22"/>
      <c r="AB234" s="22"/>
      <c r="AC234" s="22"/>
      <c r="AD234" s="22"/>
      <c r="AE234" s="22"/>
    </row>
    <row r="235">
      <c r="A235" s="22"/>
      <c r="B235" s="22" t="str">
        <f>IF(ISBLANK(A235),"",VLOOKUP(A235,DOI_URL!$B$1:$C$74,2,FALSE()))</f>
        <v/>
      </c>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c r="AA235" s="22"/>
      <c r="AB235" s="22"/>
      <c r="AC235" s="22"/>
      <c r="AD235" s="22"/>
      <c r="AE235" s="22"/>
    </row>
    <row r="236">
      <c r="A236" s="22"/>
      <c r="B236" s="22" t="str">
        <f>IF(ISBLANK(A236),"",VLOOKUP(A236,DOI_URL!$B$1:$C$74,2,FALSE()))</f>
        <v/>
      </c>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c r="AA236" s="22"/>
      <c r="AB236" s="22"/>
      <c r="AC236" s="22"/>
      <c r="AD236" s="22"/>
      <c r="AE236" s="22"/>
    </row>
    <row r="237">
      <c r="A237" s="22"/>
      <c r="B237" s="22" t="str">
        <f>IF(ISBLANK(A237),"",VLOOKUP(A237,DOI_URL!$B$1:$C$74,2,FALSE()))</f>
        <v/>
      </c>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c r="AA237" s="22"/>
      <c r="AB237" s="22"/>
      <c r="AC237" s="22"/>
      <c r="AD237" s="22"/>
      <c r="AE237" s="22"/>
    </row>
    <row r="238">
      <c r="A238" s="22"/>
      <c r="B238" s="22" t="str">
        <f>IF(ISBLANK(A238),"",VLOOKUP(A238,DOI_URL!$B$1:$C$74,2,FALSE()))</f>
        <v/>
      </c>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c r="AA238" s="22"/>
      <c r="AB238" s="22"/>
      <c r="AC238" s="22"/>
      <c r="AD238" s="22"/>
      <c r="AE238" s="22"/>
    </row>
    <row r="239">
      <c r="A239" s="22"/>
      <c r="B239" s="22" t="str">
        <f>IF(ISBLANK(A239),"",VLOOKUP(A239,DOI_URL!$B$1:$C$74,2,FALSE()))</f>
        <v/>
      </c>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c r="AA239" s="22"/>
      <c r="AB239" s="22"/>
      <c r="AC239" s="22"/>
      <c r="AD239" s="22"/>
      <c r="AE239" s="22"/>
    </row>
    <row r="240">
      <c r="A240" s="22"/>
      <c r="B240" s="22" t="str">
        <f>IF(ISBLANK(A240),"",VLOOKUP(A240,DOI_URL!$B$1:$C$74,2,FALSE()))</f>
        <v/>
      </c>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c r="AA240" s="22"/>
      <c r="AB240" s="22"/>
      <c r="AC240" s="22"/>
      <c r="AD240" s="22"/>
      <c r="AE240" s="22"/>
    </row>
    <row r="241">
      <c r="A241" s="22"/>
      <c r="B241" s="22" t="str">
        <f>IF(ISBLANK(A241),"",VLOOKUP(A241,DOI_URL!$B$1:$C$74,2,FALSE()))</f>
        <v/>
      </c>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c r="AA241" s="22"/>
      <c r="AB241" s="22"/>
      <c r="AC241" s="22"/>
      <c r="AD241" s="22"/>
      <c r="AE241" s="22"/>
    </row>
    <row r="242">
      <c r="A242" s="22"/>
      <c r="B242" s="22" t="str">
        <f>IF(ISBLANK(A242),"",VLOOKUP(A242,DOI_URL!$B$1:$C$74,2,FALSE()))</f>
        <v/>
      </c>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c r="AA242" s="22"/>
      <c r="AB242" s="22"/>
      <c r="AC242" s="22"/>
      <c r="AD242" s="22"/>
      <c r="AE242" s="22"/>
    </row>
    <row r="243">
      <c r="A243" s="22"/>
      <c r="B243" s="22" t="str">
        <f>IF(ISBLANK(A243),"",VLOOKUP(A243,DOI_URL!$B$1:$C$74,2,FALSE()))</f>
        <v/>
      </c>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c r="AA243" s="22"/>
      <c r="AB243" s="22"/>
      <c r="AC243" s="22"/>
      <c r="AD243" s="22"/>
      <c r="AE243" s="22"/>
    </row>
    <row r="244">
      <c r="A244" s="22"/>
      <c r="B244" s="22" t="str">
        <f>IF(ISBLANK(A244),"",VLOOKUP(A244,DOI_URL!$B$1:$C$74,2,FALSE()))</f>
        <v/>
      </c>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c r="AA244" s="22"/>
      <c r="AB244" s="22"/>
      <c r="AC244" s="22"/>
      <c r="AD244" s="22"/>
      <c r="AE244" s="22"/>
    </row>
    <row r="245">
      <c r="A245" s="22"/>
      <c r="B245" s="22" t="str">
        <f>IF(ISBLANK(A245),"",VLOOKUP(A245,DOI_URL!$B$1:$C$74,2,FALSE()))</f>
        <v/>
      </c>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c r="AA245" s="22"/>
      <c r="AB245" s="22"/>
      <c r="AC245" s="22"/>
      <c r="AD245" s="22"/>
      <c r="AE245" s="22"/>
    </row>
    <row r="246">
      <c r="A246" s="22"/>
      <c r="B246" s="22" t="str">
        <f>IF(ISBLANK(A246),"",VLOOKUP(A246,DOI_URL!$B$1:$C$74,2,FALSE()))</f>
        <v/>
      </c>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c r="AA246" s="22"/>
      <c r="AB246" s="22"/>
      <c r="AC246" s="22"/>
      <c r="AD246" s="22"/>
      <c r="AE246" s="22"/>
    </row>
    <row r="247">
      <c r="A247" s="22"/>
      <c r="B247" s="22" t="str">
        <f>IF(ISBLANK(A247),"",VLOOKUP(A247,DOI_URL!$B$1:$C$74,2,FALSE()))</f>
        <v/>
      </c>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c r="AA247" s="22"/>
      <c r="AB247" s="22"/>
      <c r="AC247" s="22"/>
      <c r="AD247" s="22"/>
      <c r="AE247" s="22"/>
    </row>
    <row r="248">
      <c r="A248" s="22"/>
      <c r="B248" s="22" t="str">
        <f>IF(ISBLANK(A248),"",VLOOKUP(A248,DOI_URL!$B$1:$C$74,2,FALSE()))</f>
        <v/>
      </c>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c r="AA248" s="22"/>
      <c r="AB248" s="22"/>
      <c r="AC248" s="22"/>
      <c r="AD248" s="22"/>
      <c r="AE248" s="22"/>
    </row>
    <row r="249">
      <c r="A249" s="22"/>
      <c r="B249" s="22" t="str">
        <f>IF(ISBLANK(A249),"",VLOOKUP(A249,DOI_URL!$B$1:$C$74,2,FALSE()))</f>
        <v/>
      </c>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c r="AA249" s="22"/>
      <c r="AB249" s="22"/>
      <c r="AC249" s="22"/>
      <c r="AD249" s="22"/>
      <c r="AE249" s="22"/>
    </row>
    <row r="250">
      <c r="A250" s="22"/>
      <c r="B250" s="22" t="str">
        <f>IF(ISBLANK(A250),"",VLOOKUP(A250,DOI_URL!$B$1:$C$74,2,FALSE()))</f>
        <v/>
      </c>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row>
    <row r="251">
      <c r="A251" s="22"/>
      <c r="B251" s="22" t="str">
        <f>IF(ISBLANK(A251),"",VLOOKUP(A251,DOI_URL!$B$1:$C$74,2,FALSE()))</f>
        <v/>
      </c>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c r="AA251" s="22"/>
      <c r="AB251" s="22"/>
      <c r="AC251" s="22"/>
      <c r="AD251" s="22"/>
      <c r="AE251" s="22"/>
    </row>
    <row r="252">
      <c r="A252" s="22"/>
      <c r="B252" s="22" t="str">
        <f>IF(ISBLANK(A252),"",VLOOKUP(A252,DOI_URL!$B$1:$C$74,2,FALSE()))</f>
        <v/>
      </c>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c r="AA252" s="22"/>
      <c r="AB252" s="22"/>
      <c r="AC252" s="22"/>
      <c r="AD252" s="22"/>
      <c r="AE252" s="22"/>
    </row>
    <row r="253">
      <c r="A253" s="22"/>
      <c r="B253" s="22" t="str">
        <f>IF(ISBLANK(A253),"",VLOOKUP(A253,DOI_URL!$B$1:$C$74,2,FALSE()))</f>
        <v/>
      </c>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c r="AA253" s="22"/>
      <c r="AB253" s="22"/>
      <c r="AC253" s="22"/>
      <c r="AD253" s="22"/>
      <c r="AE253" s="22"/>
    </row>
    <row r="254">
      <c r="A254" s="22"/>
      <c r="B254" s="22" t="str">
        <f>IF(ISBLANK(A254),"",VLOOKUP(A254,DOI_URL!$B$1:$C$74,2,FALSE()))</f>
        <v/>
      </c>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c r="AA254" s="22"/>
      <c r="AB254" s="22"/>
      <c r="AC254" s="22"/>
      <c r="AD254" s="22"/>
      <c r="AE254" s="22"/>
    </row>
    <row r="255">
      <c r="A255" s="22"/>
      <c r="B255" s="22" t="str">
        <f>IF(ISBLANK(A255),"",VLOOKUP(A255,DOI_URL!$B$1:$C$74,2,FALSE()))</f>
        <v/>
      </c>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c r="AA255" s="22"/>
      <c r="AB255" s="22"/>
      <c r="AC255" s="22"/>
      <c r="AD255" s="22"/>
      <c r="AE255" s="22"/>
    </row>
    <row r="256">
      <c r="A256" s="22"/>
      <c r="B256" s="22" t="str">
        <f>IF(ISBLANK(A256),"",VLOOKUP(A256,DOI_URL!$B$1:$C$74,2,FALSE()))</f>
        <v/>
      </c>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c r="AA256" s="22"/>
      <c r="AB256" s="22"/>
      <c r="AC256" s="22"/>
      <c r="AD256" s="22"/>
      <c r="AE256" s="22"/>
    </row>
    <row r="257">
      <c r="A257" s="22"/>
      <c r="B257" s="22" t="str">
        <f>IF(ISBLANK(A257),"",VLOOKUP(A257,DOI_URL!$B$1:$C$74,2,FALSE()))</f>
        <v/>
      </c>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c r="AA257" s="22"/>
      <c r="AB257" s="22"/>
      <c r="AC257" s="22"/>
      <c r="AD257" s="22"/>
      <c r="AE257" s="22"/>
    </row>
    <row r="258">
      <c r="A258" s="22"/>
      <c r="B258" s="22" t="str">
        <f>IF(ISBLANK(A258),"",VLOOKUP(A258,DOI_URL!$B$1:$C$74,2,FALSE()))</f>
        <v/>
      </c>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c r="AA258" s="22"/>
      <c r="AB258" s="22"/>
      <c r="AC258" s="22"/>
      <c r="AD258" s="22"/>
      <c r="AE258" s="22"/>
    </row>
    <row r="259">
      <c r="A259" s="22"/>
      <c r="B259" s="22" t="str">
        <f>IF(ISBLANK(A259),"",VLOOKUP(A259,DOI_URL!$B$1:$C$74,2,FALSE()))</f>
        <v/>
      </c>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c r="AA259" s="22"/>
      <c r="AB259" s="22"/>
      <c r="AC259" s="22"/>
      <c r="AD259" s="22"/>
      <c r="AE259" s="22"/>
    </row>
    <row r="260">
      <c r="A260" s="22"/>
      <c r="B260" s="22" t="str">
        <f>IF(ISBLANK(A260),"",VLOOKUP(A260,DOI_URL!$B$1:$C$74,2,FALSE()))</f>
        <v/>
      </c>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c r="AA260" s="22"/>
      <c r="AB260" s="22"/>
      <c r="AC260" s="22"/>
      <c r="AD260" s="22"/>
      <c r="AE260" s="22"/>
    </row>
    <row r="261">
      <c r="A261" s="22"/>
      <c r="B261" s="22" t="str">
        <f>IF(ISBLANK(A261),"",VLOOKUP(A261,DOI_URL!$B$1:$C$74,2,FALSE()))</f>
        <v/>
      </c>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c r="AA261" s="22"/>
      <c r="AB261" s="22"/>
      <c r="AC261" s="22"/>
      <c r="AD261" s="22"/>
      <c r="AE261" s="22"/>
    </row>
    <row r="262">
      <c r="A262" s="22"/>
      <c r="B262" s="22" t="str">
        <f>IF(ISBLANK(A262),"",VLOOKUP(A262,DOI_URL!$B$1:$C$74,2,FALSE()))</f>
        <v/>
      </c>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c r="AA262" s="22"/>
      <c r="AB262" s="22"/>
      <c r="AC262" s="22"/>
      <c r="AD262" s="22"/>
      <c r="AE262" s="22"/>
    </row>
    <row r="263">
      <c r="A263" s="22"/>
      <c r="B263" s="22" t="str">
        <f>IF(ISBLANK(A263),"",VLOOKUP(A263,DOI_URL!$B$1:$C$74,2,FALSE()))</f>
        <v/>
      </c>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c r="AA263" s="22"/>
      <c r="AB263" s="22"/>
      <c r="AC263" s="22"/>
      <c r="AD263" s="22"/>
      <c r="AE263" s="22"/>
    </row>
    <row r="264">
      <c r="A264" s="22"/>
      <c r="B264" s="22" t="str">
        <f>IF(ISBLANK(A264),"",VLOOKUP(A264,DOI_URL!$B$1:$C$74,2,FALSE()))</f>
        <v/>
      </c>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c r="AA264" s="22"/>
      <c r="AB264" s="22"/>
      <c r="AC264" s="22"/>
      <c r="AD264" s="22"/>
      <c r="AE264" s="22"/>
    </row>
    <row r="265">
      <c r="A265" s="22"/>
      <c r="B265" s="22" t="str">
        <f>IF(ISBLANK(A265),"",VLOOKUP(A265,DOI_URL!$B$1:$C$74,2,FALSE()))</f>
        <v/>
      </c>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c r="AA265" s="22"/>
      <c r="AB265" s="22"/>
      <c r="AC265" s="22"/>
      <c r="AD265" s="22"/>
      <c r="AE265" s="22"/>
    </row>
    <row r="266">
      <c r="A266" s="22"/>
      <c r="B266" s="22" t="str">
        <f>IF(ISBLANK(A266),"",VLOOKUP(A266,DOI_URL!$B$1:$C$74,2,FALSE()))</f>
        <v/>
      </c>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c r="AA266" s="22"/>
      <c r="AB266" s="22"/>
      <c r="AC266" s="22"/>
      <c r="AD266" s="22"/>
      <c r="AE266" s="22"/>
    </row>
    <row r="267">
      <c r="A267" s="22"/>
      <c r="B267" s="22" t="str">
        <f>IF(ISBLANK(A267),"",VLOOKUP(A267,DOI_URL!$B$1:$C$74,2,FALSE()))</f>
        <v/>
      </c>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c r="AA267" s="22"/>
      <c r="AB267" s="22"/>
      <c r="AC267" s="22"/>
      <c r="AD267" s="22"/>
      <c r="AE267" s="22"/>
    </row>
    <row r="268">
      <c r="A268" s="22"/>
      <c r="B268" s="22" t="str">
        <f>IF(ISBLANK(A268),"",VLOOKUP(A268,DOI_URL!$B$1:$C$74,2,FALSE()))</f>
        <v/>
      </c>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c r="AA268" s="22"/>
      <c r="AB268" s="22"/>
      <c r="AC268" s="22"/>
      <c r="AD268" s="22"/>
      <c r="AE268" s="22"/>
    </row>
    <row r="269">
      <c r="A269" s="22"/>
      <c r="B269" s="22" t="str">
        <f>IF(ISBLANK(A269),"",VLOOKUP(A269,DOI_URL!$B$1:$C$74,2,FALSE()))</f>
        <v/>
      </c>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c r="AA269" s="22"/>
      <c r="AB269" s="22"/>
      <c r="AC269" s="22"/>
      <c r="AD269" s="22"/>
      <c r="AE269" s="22"/>
    </row>
    <row r="270">
      <c r="A270" s="22"/>
      <c r="B270" s="22" t="str">
        <f>IF(ISBLANK(A270),"",VLOOKUP(A270,DOI_URL!$B$1:$C$74,2,FALSE()))</f>
        <v/>
      </c>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c r="AA270" s="22"/>
      <c r="AB270" s="22"/>
      <c r="AC270" s="22"/>
      <c r="AD270" s="22"/>
      <c r="AE270" s="22"/>
    </row>
    <row r="271">
      <c r="A271" s="22"/>
      <c r="B271" s="22" t="str">
        <f>IF(ISBLANK(A271),"",VLOOKUP(A271,DOI_URL!$B$1:$C$74,2,FALSE()))</f>
        <v/>
      </c>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c r="AA271" s="22"/>
      <c r="AB271" s="22"/>
      <c r="AC271" s="22"/>
      <c r="AD271" s="22"/>
      <c r="AE271" s="22"/>
    </row>
    <row r="272">
      <c r="A272" s="22"/>
      <c r="B272" s="22" t="str">
        <f>IF(ISBLANK(A272),"",VLOOKUP(A272,DOI_URL!$B$1:$C$74,2,FALSE()))</f>
        <v/>
      </c>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c r="AA272" s="22"/>
      <c r="AB272" s="22"/>
      <c r="AC272" s="22"/>
      <c r="AD272" s="22"/>
      <c r="AE272" s="22"/>
    </row>
    <row r="273">
      <c r="A273" s="22"/>
      <c r="B273" s="22" t="str">
        <f>IF(ISBLANK(A273),"",VLOOKUP(A273,DOI_URL!$B$1:$C$74,2,FALSE()))</f>
        <v/>
      </c>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c r="AA273" s="22"/>
      <c r="AB273" s="22"/>
      <c r="AC273" s="22"/>
      <c r="AD273" s="22"/>
      <c r="AE273" s="22"/>
    </row>
    <row r="274">
      <c r="A274" s="22"/>
      <c r="B274" s="22" t="str">
        <f>IF(ISBLANK(A274),"",VLOOKUP(A274,DOI_URL!$B$1:$C$74,2,FALSE()))</f>
        <v/>
      </c>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c r="AA274" s="22"/>
      <c r="AB274" s="22"/>
      <c r="AC274" s="22"/>
      <c r="AD274" s="22"/>
      <c r="AE274" s="22"/>
    </row>
    <row r="275">
      <c r="A275" s="22"/>
      <c r="B275" s="22" t="str">
        <f>IF(ISBLANK(A275),"",VLOOKUP(A275,DOI_URL!$B$1:$C$74,2,FALSE()))</f>
        <v/>
      </c>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row>
    <row r="276">
      <c r="A276" s="22"/>
      <c r="B276" s="22" t="str">
        <f>IF(ISBLANK(A276),"",VLOOKUP(A276,DOI_URL!$B$1:$C$74,2,FALSE()))</f>
        <v/>
      </c>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c r="AA276" s="22"/>
      <c r="AB276" s="22"/>
      <c r="AC276" s="22"/>
      <c r="AD276" s="22"/>
      <c r="AE276" s="22"/>
    </row>
    <row r="277">
      <c r="A277" s="22"/>
      <c r="B277" s="22" t="str">
        <f>IF(ISBLANK(A277),"",VLOOKUP(A277,DOI_URL!$B$1:$C$74,2,FALSE()))</f>
        <v/>
      </c>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c r="AA277" s="22"/>
      <c r="AB277" s="22"/>
      <c r="AC277" s="22"/>
      <c r="AD277" s="22"/>
      <c r="AE277" s="22"/>
    </row>
    <row r="278">
      <c r="A278" s="22"/>
      <c r="B278" s="22" t="str">
        <f>IF(ISBLANK(A278),"",VLOOKUP(A278,DOI_URL!$B$1:$C$74,2,FALSE()))</f>
        <v/>
      </c>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c r="AA278" s="22"/>
      <c r="AB278" s="22"/>
      <c r="AC278" s="22"/>
      <c r="AD278" s="22"/>
      <c r="AE278" s="22"/>
    </row>
    <row r="279">
      <c r="A279" s="22"/>
      <c r="B279" s="22" t="str">
        <f>IF(ISBLANK(A279),"",VLOOKUP(A279,DOI_URL!$B$1:$C$74,2,FALSE()))</f>
        <v/>
      </c>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c r="AA279" s="22"/>
      <c r="AB279" s="22"/>
      <c r="AC279" s="22"/>
      <c r="AD279" s="22"/>
      <c r="AE279" s="22"/>
    </row>
    <row r="280">
      <c r="A280" s="22"/>
      <c r="B280" s="22" t="str">
        <f>IF(ISBLANK(A280),"",VLOOKUP(A280,DOI_URL!$B$1:$C$74,2,FALSE()))</f>
        <v/>
      </c>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c r="AA280" s="22"/>
      <c r="AB280" s="22"/>
      <c r="AC280" s="22"/>
      <c r="AD280" s="22"/>
      <c r="AE280" s="22"/>
    </row>
    <row r="281">
      <c r="A281" s="22"/>
      <c r="B281" s="22" t="str">
        <f>IF(ISBLANK(A281),"",VLOOKUP(A281,DOI_URL!$B$1:$C$74,2,FALSE()))</f>
        <v/>
      </c>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c r="AA281" s="22"/>
      <c r="AB281" s="22"/>
      <c r="AC281" s="22"/>
      <c r="AD281" s="22"/>
      <c r="AE281" s="22"/>
    </row>
    <row r="282">
      <c r="A282" s="22"/>
      <c r="B282" s="22" t="str">
        <f>IF(ISBLANK(A282),"",VLOOKUP(A282,DOI_URL!$B$1:$C$74,2,FALSE()))</f>
        <v/>
      </c>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c r="AA282" s="22"/>
      <c r="AB282" s="22"/>
      <c r="AC282" s="22"/>
      <c r="AD282" s="22"/>
      <c r="AE282" s="22"/>
    </row>
    <row r="283">
      <c r="A283" s="22"/>
      <c r="B283" s="22" t="str">
        <f>IF(ISBLANK(A283),"",VLOOKUP(A283,DOI_URL!$B$1:$C$74,2,FALSE()))</f>
        <v/>
      </c>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c r="AA283" s="22"/>
      <c r="AB283" s="22"/>
      <c r="AC283" s="22"/>
      <c r="AD283" s="22"/>
      <c r="AE283" s="22"/>
    </row>
    <row r="284">
      <c r="A284" s="22"/>
      <c r="B284" s="22" t="str">
        <f>IF(ISBLANK(A284),"",VLOOKUP(A284,DOI_URL!$B$1:$C$74,2,FALSE()))</f>
        <v/>
      </c>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c r="AA284" s="22"/>
      <c r="AB284" s="22"/>
      <c r="AC284" s="22"/>
      <c r="AD284" s="22"/>
      <c r="AE284" s="22"/>
    </row>
    <row r="285">
      <c r="A285" s="22"/>
      <c r="B285" s="22" t="str">
        <f>IF(ISBLANK(A285),"",VLOOKUP(A285,DOI_URL!$B$1:$C$74,2,FALSE()))</f>
        <v/>
      </c>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c r="AA285" s="22"/>
      <c r="AB285" s="22"/>
      <c r="AC285" s="22"/>
      <c r="AD285" s="22"/>
      <c r="AE285" s="22"/>
    </row>
    <row r="286">
      <c r="A286" s="22"/>
      <c r="B286" s="22" t="str">
        <f>IF(ISBLANK(A286),"",VLOOKUP(A286,DOI_URL!$B$1:$C$74,2,FALSE()))</f>
        <v/>
      </c>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c r="AA286" s="22"/>
      <c r="AB286" s="22"/>
      <c r="AC286" s="22"/>
      <c r="AD286" s="22"/>
      <c r="AE286" s="22"/>
    </row>
    <row r="287">
      <c r="A287" s="22"/>
      <c r="B287" s="22" t="str">
        <f>IF(ISBLANK(A287),"",VLOOKUP(A287,DOI_URL!$B$1:$C$74,2,FALSE()))</f>
        <v/>
      </c>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c r="AA287" s="22"/>
      <c r="AB287" s="22"/>
      <c r="AC287" s="22"/>
      <c r="AD287" s="22"/>
      <c r="AE287" s="22"/>
    </row>
    <row r="288">
      <c r="A288" s="22"/>
      <c r="B288" s="22" t="str">
        <f>IF(ISBLANK(A288),"",VLOOKUP(A288,DOI_URL!$B$1:$C$74,2,FALSE()))</f>
        <v/>
      </c>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c r="AA288" s="22"/>
      <c r="AB288" s="22"/>
      <c r="AC288" s="22"/>
      <c r="AD288" s="22"/>
      <c r="AE288" s="22"/>
    </row>
    <row r="289">
      <c r="A289" s="22"/>
      <c r="B289" s="22" t="str">
        <f>IF(ISBLANK(A289),"",VLOOKUP(A289,DOI_URL!$B$1:$C$74,2,FALSE()))</f>
        <v/>
      </c>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c r="AA289" s="22"/>
      <c r="AB289" s="22"/>
      <c r="AC289" s="22"/>
      <c r="AD289" s="22"/>
      <c r="AE289" s="22"/>
    </row>
    <row r="290">
      <c r="A290" s="22"/>
      <c r="B290" s="22" t="str">
        <f>IF(ISBLANK(A290),"",VLOOKUP(A290,DOI_URL!$B$1:$C$74,2,FALSE()))</f>
        <v/>
      </c>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c r="AA290" s="22"/>
      <c r="AB290" s="22"/>
      <c r="AC290" s="22"/>
      <c r="AD290" s="22"/>
      <c r="AE290" s="22"/>
    </row>
    <row r="291">
      <c r="A291" s="22"/>
      <c r="B291" s="22" t="str">
        <f>IF(ISBLANK(A291),"",VLOOKUP(A291,DOI_URL!$B$1:$C$74,2,FALSE()))</f>
        <v/>
      </c>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c r="AA291" s="22"/>
      <c r="AB291" s="22"/>
      <c r="AC291" s="22"/>
      <c r="AD291" s="22"/>
      <c r="AE291" s="22"/>
    </row>
    <row r="292">
      <c r="A292" s="22"/>
      <c r="B292" s="22" t="str">
        <f>IF(ISBLANK(A292),"",VLOOKUP(A292,DOI_URL!$B$1:$C$74,2,FALSE()))</f>
        <v/>
      </c>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c r="AA292" s="22"/>
      <c r="AB292" s="22"/>
      <c r="AC292" s="22"/>
      <c r="AD292" s="22"/>
      <c r="AE292" s="22"/>
    </row>
    <row r="293">
      <c r="A293" s="22"/>
      <c r="B293" s="22" t="str">
        <f>IF(ISBLANK(A293),"",VLOOKUP(A293,DOI_URL!$B$1:$C$74,2,FALSE()))</f>
        <v/>
      </c>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c r="AA293" s="22"/>
      <c r="AB293" s="22"/>
      <c r="AC293" s="22"/>
      <c r="AD293" s="22"/>
      <c r="AE293" s="22"/>
    </row>
    <row r="294">
      <c r="A294" s="22"/>
      <c r="B294" s="22" t="str">
        <f>IF(ISBLANK(A294),"",VLOOKUP(A294,DOI_URL!$B$1:$C$74,2,FALSE()))</f>
        <v/>
      </c>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c r="AA294" s="22"/>
      <c r="AB294" s="22"/>
      <c r="AC294" s="22"/>
      <c r="AD294" s="22"/>
      <c r="AE294" s="22"/>
    </row>
    <row r="295">
      <c r="A295" s="22"/>
      <c r="B295" s="22" t="str">
        <f>IF(ISBLANK(A295),"",VLOOKUP(A295,DOI_URL!$B$1:$C$74,2,FALSE()))</f>
        <v/>
      </c>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c r="AA295" s="22"/>
      <c r="AB295" s="22"/>
      <c r="AC295" s="22"/>
      <c r="AD295" s="22"/>
      <c r="AE295" s="22"/>
    </row>
    <row r="296">
      <c r="A296" s="22"/>
      <c r="B296" s="22" t="str">
        <f>IF(ISBLANK(A296),"",VLOOKUP(A296,DOI_URL!$B$1:$C$74,2,FALSE()))</f>
        <v/>
      </c>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c r="AA296" s="22"/>
      <c r="AB296" s="22"/>
      <c r="AC296" s="22"/>
      <c r="AD296" s="22"/>
      <c r="AE296" s="22"/>
    </row>
    <row r="297">
      <c r="A297" s="22"/>
      <c r="B297" s="22" t="str">
        <f>IF(ISBLANK(A297),"",VLOOKUP(A297,DOI_URL!$B$1:$C$74,2,FALSE()))</f>
        <v/>
      </c>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c r="AA297" s="22"/>
      <c r="AB297" s="22"/>
      <c r="AC297" s="22"/>
      <c r="AD297" s="22"/>
      <c r="AE297" s="22"/>
    </row>
    <row r="298">
      <c r="A298" s="22"/>
      <c r="B298" s="22" t="str">
        <f>IF(ISBLANK(A298),"",VLOOKUP(A298,DOI_URL!$B$1:$C$74,2,FALSE()))</f>
        <v/>
      </c>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c r="AA298" s="22"/>
      <c r="AB298" s="22"/>
      <c r="AC298" s="22"/>
      <c r="AD298" s="22"/>
      <c r="AE298" s="22"/>
    </row>
    <row r="299">
      <c r="A299" s="22"/>
      <c r="B299" s="22" t="str">
        <f>IF(ISBLANK(A299),"",VLOOKUP(A299,DOI_URL!$B$1:$C$74,2,FALSE()))</f>
        <v/>
      </c>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c r="AA299" s="22"/>
      <c r="AB299" s="22"/>
      <c r="AC299" s="22"/>
      <c r="AD299" s="22"/>
      <c r="AE299" s="22"/>
    </row>
    <row r="300">
      <c r="A300" s="22"/>
      <c r="B300" s="22" t="str">
        <f>IF(ISBLANK(A300),"",VLOOKUP(A300,DOI_URL!$B$1:$C$74,2,FALSE()))</f>
        <v/>
      </c>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row>
    <row r="301">
      <c r="A301" s="22"/>
      <c r="B301" s="22" t="str">
        <f>IF(ISBLANK(A301),"",VLOOKUP(A301,DOI_URL!$B$1:$C$74,2,FALSE()))</f>
        <v/>
      </c>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c r="AA301" s="22"/>
      <c r="AB301" s="22"/>
      <c r="AC301" s="22"/>
      <c r="AD301" s="22"/>
      <c r="AE301" s="22"/>
    </row>
    <row r="302">
      <c r="A302" s="22"/>
      <c r="B302" s="22" t="str">
        <f>IF(ISBLANK(A302),"",VLOOKUP(A302,DOI_URL!$B$1:$C$74,2,FALSE()))</f>
        <v/>
      </c>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c r="AA302" s="22"/>
      <c r="AB302" s="22"/>
      <c r="AC302" s="22"/>
      <c r="AD302" s="22"/>
      <c r="AE302" s="22"/>
    </row>
    <row r="303">
      <c r="A303" s="22"/>
      <c r="B303" s="22" t="str">
        <f>IF(ISBLANK(A303),"",VLOOKUP(A303,DOI_URL!$B$1:$C$74,2,FALSE()))</f>
        <v/>
      </c>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c r="AA303" s="22"/>
      <c r="AB303" s="22"/>
      <c r="AC303" s="22"/>
      <c r="AD303" s="22"/>
      <c r="AE303" s="22"/>
    </row>
    <row r="304">
      <c r="A304" s="22"/>
      <c r="B304" s="22" t="str">
        <f>IF(ISBLANK(A304),"",VLOOKUP(A304,DOI_URL!$B$1:$C$74,2,FALSE()))</f>
        <v/>
      </c>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c r="AA304" s="22"/>
      <c r="AB304" s="22"/>
      <c r="AC304" s="22"/>
      <c r="AD304" s="22"/>
      <c r="AE304" s="22"/>
    </row>
    <row r="305">
      <c r="A305" s="22"/>
      <c r="B305" s="22" t="str">
        <f>IF(ISBLANK(A305),"",VLOOKUP(A305,DOI_URL!$B$1:$C$74,2,FALSE()))</f>
        <v/>
      </c>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c r="AA305" s="22"/>
      <c r="AB305" s="22"/>
      <c r="AC305" s="22"/>
      <c r="AD305" s="22"/>
      <c r="AE305" s="22"/>
    </row>
    <row r="306">
      <c r="A306" s="22"/>
      <c r="B306" s="22" t="str">
        <f>IF(ISBLANK(A306),"",VLOOKUP(A306,DOI_URL!$B$1:$C$74,2,FALSE()))</f>
        <v/>
      </c>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c r="AA306" s="22"/>
      <c r="AB306" s="22"/>
      <c r="AC306" s="22"/>
      <c r="AD306" s="22"/>
      <c r="AE306" s="22"/>
    </row>
    <row r="307">
      <c r="A307" s="22"/>
      <c r="B307" s="22" t="str">
        <f>IF(ISBLANK(A307),"",VLOOKUP(A307,DOI_URL!$B$1:$C$74,2,FALSE()))</f>
        <v/>
      </c>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c r="AA307" s="22"/>
      <c r="AB307" s="22"/>
      <c r="AC307" s="22"/>
      <c r="AD307" s="22"/>
      <c r="AE307" s="22"/>
    </row>
    <row r="308">
      <c r="A308" s="22"/>
      <c r="B308" s="22" t="str">
        <f>IF(ISBLANK(A308),"",VLOOKUP(A308,DOI_URL!$B$1:$C$74,2,FALSE()))</f>
        <v/>
      </c>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c r="AA308" s="22"/>
      <c r="AB308" s="22"/>
      <c r="AC308" s="22"/>
      <c r="AD308" s="22"/>
      <c r="AE308" s="22"/>
    </row>
    <row r="309">
      <c r="A309" s="22"/>
      <c r="B309" s="22" t="str">
        <f>IF(ISBLANK(A309),"",VLOOKUP(A309,DOI_URL!$B$1:$C$74,2,FALSE()))</f>
        <v/>
      </c>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c r="AA309" s="22"/>
      <c r="AB309" s="22"/>
      <c r="AC309" s="22"/>
      <c r="AD309" s="22"/>
      <c r="AE309" s="22"/>
    </row>
    <row r="310">
      <c r="A310" s="22"/>
      <c r="B310" s="22" t="str">
        <f>IF(ISBLANK(A310),"",VLOOKUP(A310,DOI_URL!$B$1:$C$74,2,FALSE()))</f>
        <v/>
      </c>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c r="AA310" s="22"/>
      <c r="AB310" s="22"/>
      <c r="AC310" s="22"/>
      <c r="AD310" s="22"/>
      <c r="AE310" s="22"/>
    </row>
    <row r="311">
      <c r="A311" s="22"/>
      <c r="B311" s="22" t="str">
        <f>IF(ISBLANK(A311),"",VLOOKUP(A311,DOI_URL!$B$1:$C$74,2,FALSE()))</f>
        <v/>
      </c>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c r="AA311" s="22"/>
      <c r="AB311" s="22"/>
      <c r="AC311" s="22"/>
      <c r="AD311" s="22"/>
      <c r="AE311" s="22"/>
    </row>
    <row r="312">
      <c r="A312" s="22"/>
      <c r="B312" s="22" t="str">
        <f>IF(ISBLANK(A312),"",VLOOKUP(A312,DOI_URL!$B$1:$C$74,2,FALSE()))</f>
        <v/>
      </c>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c r="AA312" s="22"/>
      <c r="AB312" s="22"/>
      <c r="AC312" s="22"/>
      <c r="AD312" s="22"/>
      <c r="AE312" s="22"/>
    </row>
    <row r="313">
      <c r="A313" s="22"/>
      <c r="B313" s="22" t="str">
        <f>IF(ISBLANK(A313),"",VLOOKUP(A313,DOI_URL!$B$1:$C$74,2,FALSE()))</f>
        <v/>
      </c>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c r="AA313" s="22"/>
      <c r="AB313" s="22"/>
      <c r="AC313" s="22"/>
      <c r="AD313" s="22"/>
      <c r="AE313" s="22"/>
    </row>
    <row r="314">
      <c r="A314" s="22"/>
      <c r="B314" s="22" t="str">
        <f>IF(ISBLANK(A314),"",VLOOKUP(A314,DOI_URL!$B$1:$C$74,2,FALSE()))</f>
        <v/>
      </c>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c r="AA314" s="22"/>
      <c r="AB314" s="22"/>
      <c r="AC314" s="22"/>
      <c r="AD314" s="22"/>
      <c r="AE314" s="22"/>
    </row>
    <row r="315">
      <c r="A315" s="22"/>
      <c r="B315" s="22" t="str">
        <f>IF(ISBLANK(A315),"",VLOOKUP(A315,DOI_URL!$B$1:$C$74,2,FALSE()))</f>
        <v/>
      </c>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c r="AA315" s="22"/>
      <c r="AB315" s="22"/>
      <c r="AC315" s="22"/>
      <c r="AD315" s="22"/>
      <c r="AE315" s="22"/>
    </row>
    <row r="316">
      <c r="A316" s="22"/>
      <c r="B316" s="22" t="str">
        <f>IF(ISBLANK(A316),"",VLOOKUP(A316,DOI_URL!$B$1:$C$74,2,FALSE()))</f>
        <v/>
      </c>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c r="AA316" s="22"/>
      <c r="AB316" s="22"/>
      <c r="AC316" s="22"/>
      <c r="AD316" s="22"/>
      <c r="AE316" s="22"/>
    </row>
    <row r="317">
      <c r="A317" s="22"/>
      <c r="B317" s="22" t="str">
        <f>IF(ISBLANK(A317),"",VLOOKUP(A317,DOI_URL!$B$1:$C$74,2,FALSE()))</f>
        <v/>
      </c>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c r="AA317" s="22"/>
      <c r="AB317" s="22"/>
      <c r="AC317" s="22"/>
      <c r="AD317" s="22"/>
      <c r="AE317" s="22"/>
    </row>
    <row r="318">
      <c r="A318" s="22"/>
      <c r="B318" s="22" t="str">
        <f>IF(ISBLANK(A318),"",VLOOKUP(A318,DOI_URL!$B$1:$C$74,2,FALSE()))</f>
        <v/>
      </c>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c r="AA318" s="22"/>
      <c r="AB318" s="22"/>
      <c r="AC318" s="22"/>
      <c r="AD318" s="22"/>
      <c r="AE318" s="22"/>
    </row>
    <row r="319">
      <c r="A319" s="22"/>
      <c r="B319" s="22" t="str">
        <f>IF(ISBLANK(A319),"",VLOOKUP(A319,DOI_URL!$B$1:$C$74,2,FALSE()))</f>
        <v/>
      </c>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c r="AA319" s="22"/>
      <c r="AB319" s="22"/>
      <c r="AC319" s="22"/>
      <c r="AD319" s="22"/>
      <c r="AE319" s="22"/>
    </row>
    <row r="320">
      <c r="A320" s="22"/>
      <c r="B320" s="22" t="str">
        <f>IF(ISBLANK(A320),"",VLOOKUP(A320,DOI_URL!$B$1:$C$74,2,FALSE()))</f>
        <v/>
      </c>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c r="AA320" s="22"/>
      <c r="AB320" s="22"/>
      <c r="AC320" s="22"/>
      <c r="AD320" s="22"/>
      <c r="AE320" s="22"/>
    </row>
    <row r="321">
      <c r="A321" s="22"/>
      <c r="B321" s="22" t="str">
        <f>IF(ISBLANK(A321),"",VLOOKUP(A321,DOI_URL!$B$1:$C$74,2,FALSE()))</f>
        <v/>
      </c>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c r="AA321" s="22"/>
      <c r="AB321" s="22"/>
      <c r="AC321" s="22"/>
      <c r="AD321" s="22"/>
      <c r="AE321" s="22"/>
    </row>
    <row r="322">
      <c r="A322" s="22"/>
      <c r="B322" s="22" t="str">
        <f>IF(ISBLANK(A322),"",VLOOKUP(A322,DOI_URL!$B$1:$C$74,2,FALSE()))</f>
        <v/>
      </c>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c r="AA322" s="22"/>
      <c r="AB322" s="22"/>
      <c r="AC322" s="22"/>
      <c r="AD322" s="22"/>
      <c r="AE322" s="22"/>
    </row>
    <row r="323">
      <c r="A323" s="22"/>
      <c r="B323" s="22" t="str">
        <f>IF(ISBLANK(A323),"",VLOOKUP(A323,DOI_URL!$B$1:$C$74,2,FALSE()))</f>
        <v/>
      </c>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c r="AA323" s="22"/>
      <c r="AB323" s="22"/>
      <c r="AC323" s="22"/>
      <c r="AD323" s="22"/>
      <c r="AE323" s="22"/>
    </row>
    <row r="324">
      <c r="A324" s="22"/>
      <c r="B324" s="22" t="str">
        <f>IF(ISBLANK(A324),"",VLOOKUP(A324,DOI_URL!$B$1:$C$74,2,FALSE()))</f>
        <v/>
      </c>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c r="AA324" s="22"/>
      <c r="AB324" s="22"/>
      <c r="AC324" s="22"/>
      <c r="AD324" s="22"/>
      <c r="AE324" s="22"/>
    </row>
    <row r="325">
      <c r="A325" s="22"/>
      <c r="B325" s="22" t="str">
        <f>IF(ISBLANK(A325),"",VLOOKUP(A325,DOI_URL!$B$1:$C$74,2,FALSE()))</f>
        <v/>
      </c>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row>
    <row r="326">
      <c r="A326" s="22"/>
      <c r="B326" s="22" t="str">
        <f>IF(ISBLANK(A326),"",VLOOKUP(A326,DOI_URL!$B$1:$C$74,2,FALSE()))</f>
        <v/>
      </c>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c r="AA326" s="22"/>
      <c r="AB326" s="22"/>
      <c r="AC326" s="22"/>
      <c r="AD326" s="22"/>
      <c r="AE326" s="22"/>
    </row>
    <row r="327">
      <c r="A327" s="22"/>
      <c r="B327" s="22" t="str">
        <f>IF(ISBLANK(A327),"",VLOOKUP(A327,DOI_URL!$B$1:$C$74,2,FALSE()))</f>
        <v/>
      </c>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c r="AA327" s="22"/>
      <c r="AB327" s="22"/>
      <c r="AC327" s="22"/>
      <c r="AD327" s="22"/>
      <c r="AE327" s="22"/>
    </row>
    <row r="328">
      <c r="A328" s="22"/>
      <c r="B328" s="22" t="str">
        <f>IF(ISBLANK(A328),"",VLOOKUP(A328,DOI_URL!$B$1:$C$74,2,FALSE()))</f>
        <v/>
      </c>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c r="AA328" s="22"/>
      <c r="AB328" s="22"/>
      <c r="AC328" s="22"/>
      <c r="AD328" s="22"/>
      <c r="AE328" s="22"/>
    </row>
    <row r="329">
      <c r="A329" s="22"/>
      <c r="B329" s="22" t="str">
        <f>IF(ISBLANK(A329),"",VLOOKUP(A329,DOI_URL!$B$1:$C$74,2,FALSE()))</f>
        <v/>
      </c>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c r="AA329" s="22"/>
      <c r="AB329" s="22"/>
      <c r="AC329" s="22"/>
      <c r="AD329" s="22"/>
      <c r="AE329" s="22"/>
    </row>
    <row r="330">
      <c r="A330" s="22"/>
      <c r="B330" s="22" t="str">
        <f>IF(ISBLANK(A330),"",VLOOKUP(A330,DOI_URL!$B$1:$C$74,2,FALSE()))</f>
        <v/>
      </c>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c r="AA330" s="22"/>
      <c r="AB330" s="22"/>
      <c r="AC330" s="22"/>
      <c r="AD330" s="22"/>
      <c r="AE330" s="22"/>
    </row>
    <row r="331">
      <c r="A331" s="22"/>
      <c r="B331" s="22" t="str">
        <f>IF(ISBLANK(A331),"",VLOOKUP(A331,DOI_URL!$B$1:$C$74,2,FALSE()))</f>
        <v/>
      </c>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c r="AA331" s="22"/>
      <c r="AB331" s="22"/>
      <c r="AC331" s="22"/>
      <c r="AD331" s="22"/>
      <c r="AE331" s="22"/>
    </row>
    <row r="332">
      <c r="A332" s="22"/>
      <c r="B332" s="22" t="str">
        <f>IF(ISBLANK(A332),"",VLOOKUP(A332,DOI_URL!$B$1:$C$74,2,FALSE()))</f>
        <v/>
      </c>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c r="AA332" s="22"/>
      <c r="AB332" s="22"/>
      <c r="AC332" s="22"/>
      <c r="AD332" s="22"/>
      <c r="AE332" s="22"/>
    </row>
    <row r="333">
      <c r="A333" s="22"/>
      <c r="B333" s="22" t="str">
        <f>IF(ISBLANK(A333),"",VLOOKUP(A333,DOI_URL!$B$1:$C$74,2,FALSE()))</f>
        <v/>
      </c>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c r="AA333" s="22"/>
      <c r="AB333" s="22"/>
      <c r="AC333" s="22"/>
      <c r="AD333" s="22"/>
      <c r="AE333" s="22"/>
    </row>
    <row r="334">
      <c r="A334" s="22"/>
      <c r="B334" s="22" t="str">
        <f>IF(ISBLANK(A334),"",VLOOKUP(A334,DOI_URL!$B$1:$C$74,2,FALSE()))</f>
        <v/>
      </c>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c r="AA334" s="22"/>
      <c r="AB334" s="22"/>
      <c r="AC334" s="22"/>
      <c r="AD334" s="22"/>
      <c r="AE334" s="22"/>
    </row>
    <row r="335">
      <c r="A335" s="22"/>
      <c r="B335" s="22" t="str">
        <f>IF(ISBLANK(A335),"",VLOOKUP(A335,DOI_URL!$B$1:$C$74,2,FALSE()))</f>
        <v/>
      </c>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c r="AA335" s="22"/>
      <c r="AB335" s="22"/>
      <c r="AC335" s="22"/>
      <c r="AD335" s="22"/>
      <c r="AE335" s="22"/>
    </row>
    <row r="336">
      <c r="A336" s="22"/>
      <c r="B336" s="22" t="str">
        <f>IF(ISBLANK(A336),"",VLOOKUP(A336,DOI_URL!$B$1:$C$74,2,FALSE()))</f>
        <v/>
      </c>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c r="AA336" s="22"/>
      <c r="AB336" s="22"/>
      <c r="AC336" s="22"/>
      <c r="AD336" s="22"/>
      <c r="AE336" s="22"/>
    </row>
    <row r="337">
      <c r="A337" s="22"/>
      <c r="B337" s="22" t="str">
        <f>IF(ISBLANK(A337),"",VLOOKUP(A337,DOI_URL!$B$1:$C$74,2,FALSE()))</f>
        <v/>
      </c>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c r="AA337" s="22"/>
      <c r="AB337" s="22"/>
      <c r="AC337" s="22"/>
      <c r="AD337" s="22"/>
      <c r="AE337" s="22"/>
    </row>
    <row r="338">
      <c r="A338" s="22"/>
      <c r="B338" s="22" t="str">
        <f>IF(ISBLANK(A338),"",VLOOKUP(A338,DOI_URL!$B$1:$C$74,2,FALSE()))</f>
        <v/>
      </c>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c r="AA338" s="22"/>
      <c r="AB338" s="22"/>
      <c r="AC338" s="22"/>
      <c r="AD338" s="22"/>
      <c r="AE338" s="22"/>
    </row>
    <row r="339">
      <c r="A339" s="22"/>
      <c r="B339" s="22" t="str">
        <f>IF(ISBLANK(A339),"",VLOOKUP(A339,DOI_URL!$B$1:$C$74,2,FALSE()))</f>
        <v/>
      </c>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c r="AA339" s="22"/>
      <c r="AB339" s="22"/>
      <c r="AC339" s="22"/>
      <c r="AD339" s="22"/>
      <c r="AE339" s="22"/>
    </row>
    <row r="340">
      <c r="A340" s="22"/>
      <c r="B340" s="22" t="str">
        <f>IF(ISBLANK(A340),"",VLOOKUP(A340,DOI_URL!$B$1:$C$74,2,FALSE()))</f>
        <v/>
      </c>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c r="AA340" s="22"/>
      <c r="AB340" s="22"/>
      <c r="AC340" s="22"/>
      <c r="AD340" s="22"/>
      <c r="AE340" s="22"/>
    </row>
    <row r="341">
      <c r="A341" s="22"/>
      <c r="B341" s="22" t="str">
        <f>IF(ISBLANK(A341),"",VLOOKUP(A341,DOI_URL!$B$1:$C$74,2,FALSE()))</f>
        <v/>
      </c>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c r="AA341" s="22"/>
      <c r="AB341" s="22"/>
      <c r="AC341" s="22"/>
      <c r="AD341" s="22"/>
      <c r="AE341" s="22"/>
    </row>
    <row r="342">
      <c r="A342" s="22"/>
      <c r="B342" s="22" t="str">
        <f>IF(ISBLANK(A342),"",VLOOKUP(A342,DOI_URL!$B$1:$C$74,2,FALSE()))</f>
        <v/>
      </c>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c r="AA342" s="22"/>
      <c r="AB342" s="22"/>
      <c r="AC342" s="22"/>
      <c r="AD342" s="22"/>
      <c r="AE342" s="22"/>
    </row>
    <row r="343">
      <c r="A343" s="22"/>
      <c r="B343" s="22" t="str">
        <f>IF(ISBLANK(A343),"",VLOOKUP(A343,DOI_URL!$B$1:$C$74,2,FALSE()))</f>
        <v/>
      </c>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c r="AA343" s="22"/>
      <c r="AB343" s="22"/>
      <c r="AC343" s="22"/>
      <c r="AD343" s="22"/>
      <c r="AE343" s="22"/>
    </row>
    <row r="344">
      <c r="A344" s="22"/>
      <c r="B344" s="22" t="str">
        <f>IF(ISBLANK(A344),"",VLOOKUP(A344,DOI_URL!$B$1:$C$74,2,FALSE()))</f>
        <v/>
      </c>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c r="AA344" s="22"/>
      <c r="AB344" s="22"/>
      <c r="AC344" s="22"/>
      <c r="AD344" s="22"/>
      <c r="AE344" s="22"/>
    </row>
    <row r="345">
      <c r="A345" s="22"/>
      <c r="B345" s="22" t="str">
        <f>IF(ISBLANK(A345),"",VLOOKUP(A345,DOI_URL!$B$1:$C$74,2,FALSE()))</f>
        <v/>
      </c>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c r="AA345" s="22"/>
      <c r="AB345" s="22"/>
      <c r="AC345" s="22"/>
      <c r="AD345" s="22"/>
      <c r="AE345" s="22"/>
    </row>
    <row r="346">
      <c r="A346" s="22"/>
      <c r="B346" s="22" t="str">
        <f>IF(ISBLANK(A346),"",VLOOKUP(A346,DOI_URL!$B$1:$C$74,2,FALSE()))</f>
        <v/>
      </c>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c r="AA346" s="22"/>
      <c r="AB346" s="22"/>
      <c r="AC346" s="22"/>
      <c r="AD346" s="22"/>
      <c r="AE346" s="22"/>
    </row>
    <row r="347">
      <c r="A347" s="22"/>
      <c r="B347" s="22" t="str">
        <f>IF(ISBLANK(A347),"",VLOOKUP(A347,DOI_URL!$B$1:$C$74,2,FALSE()))</f>
        <v/>
      </c>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c r="AA347" s="22"/>
      <c r="AB347" s="22"/>
      <c r="AC347" s="22"/>
      <c r="AD347" s="22"/>
      <c r="AE347" s="22"/>
    </row>
    <row r="348">
      <c r="A348" s="22"/>
      <c r="B348" s="22" t="str">
        <f>IF(ISBLANK(A348),"",VLOOKUP(A348,DOI_URL!$B$1:$C$74,2,FALSE()))</f>
        <v/>
      </c>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c r="AA348" s="22"/>
      <c r="AB348" s="22"/>
      <c r="AC348" s="22"/>
      <c r="AD348" s="22"/>
      <c r="AE348" s="22"/>
    </row>
    <row r="349">
      <c r="A349" s="22"/>
      <c r="B349" s="22" t="str">
        <f>IF(ISBLANK(A349),"",VLOOKUP(A349,DOI_URL!$B$1:$C$74,2,FALSE()))</f>
        <v/>
      </c>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c r="AA349" s="22"/>
      <c r="AB349" s="22"/>
      <c r="AC349" s="22"/>
      <c r="AD349" s="22"/>
      <c r="AE349" s="22"/>
    </row>
    <row r="350">
      <c r="A350" s="22"/>
      <c r="B350" s="22" t="str">
        <f>IF(ISBLANK(A350),"",VLOOKUP(A350,DOI_URL!$B$1:$C$74,2,FALSE()))</f>
        <v/>
      </c>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row>
    <row r="351">
      <c r="A351" s="22"/>
      <c r="B351" s="22" t="str">
        <f>IF(ISBLANK(A351),"",VLOOKUP(A351,DOI_URL!$B$1:$C$74,2,FALSE()))</f>
        <v/>
      </c>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c r="AA351" s="22"/>
      <c r="AB351" s="22"/>
      <c r="AC351" s="22"/>
      <c r="AD351" s="22"/>
      <c r="AE351" s="22"/>
    </row>
    <row r="352">
      <c r="A352" s="22"/>
      <c r="B352" s="22" t="str">
        <f>IF(ISBLANK(A352),"",VLOOKUP(A352,DOI_URL!$B$1:$C$74,2,FALSE()))</f>
        <v/>
      </c>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c r="AA352" s="22"/>
      <c r="AB352" s="22"/>
      <c r="AC352" s="22"/>
      <c r="AD352" s="22"/>
      <c r="AE352" s="22"/>
    </row>
    <row r="353">
      <c r="A353" s="22"/>
      <c r="B353" s="22" t="str">
        <f>IF(ISBLANK(A353),"",VLOOKUP(A353,DOI_URL!$B$1:$C$74,2,FALSE()))</f>
        <v/>
      </c>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c r="AA353" s="22"/>
      <c r="AB353" s="22"/>
      <c r="AC353" s="22"/>
      <c r="AD353" s="22"/>
      <c r="AE353" s="22"/>
    </row>
    <row r="354">
      <c r="A354" s="22"/>
      <c r="B354" s="22" t="str">
        <f>IF(ISBLANK(A354),"",VLOOKUP(A354,DOI_URL!$B$1:$C$74,2,FALSE()))</f>
        <v/>
      </c>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c r="AA354" s="22"/>
      <c r="AB354" s="22"/>
      <c r="AC354" s="22"/>
      <c r="AD354" s="22"/>
      <c r="AE354" s="22"/>
    </row>
    <row r="355">
      <c r="A355" s="22"/>
      <c r="B355" s="22" t="str">
        <f>IF(ISBLANK(A355),"",VLOOKUP(A355,DOI_URL!$B$1:$C$74,2,FALSE()))</f>
        <v/>
      </c>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c r="AA355" s="22"/>
      <c r="AB355" s="22"/>
      <c r="AC355" s="22"/>
      <c r="AD355" s="22"/>
      <c r="AE355" s="22"/>
    </row>
    <row r="356">
      <c r="A356" s="22"/>
      <c r="B356" s="22" t="str">
        <f>IF(ISBLANK(A356),"",VLOOKUP(A356,DOI_URL!$B$1:$C$74,2,FALSE()))</f>
        <v/>
      </c>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c r="AA356" s="22"/>
      <c r="AB356" s="22"/>
      <c r="AC356" s="22"/>
      <c r="AD356" s="22"/>
      <c r="AE356" s="22"/>
    </row>
    <row r="357">
      <c r="A357" s="22"/>
      <c r="B357" s="22" t="str">
        <f>IF(ISBLANK(A357),"",VLOOKUP(A357,DOI_URL!$B$1:$C$74,2,FALSE()))</f>
        <v/>
      </c>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c r="AA357" s="22"/>
      <c r="AB357" s="22"/>
      <c r="AC357" s="22"/>
      <c r="AD357" s="22"/>
      <c r="AE357" s="22"/>
    </row>
    <row r="358">
      <c r="A358" s="22"/>
      <c r="B358" s="22" t="str">
        <f>IF(ISBLANK(A358),"",VLOOKUP(A358,DOI_URL!$B$1:$C$74,2,FALSE()))</f>
        <v/>
      </c>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c r="AA358" s="22"/>
      <c r="AB358" s="22"/>
      <c r="AC358" s="22"/>
      <c r="AD358" s="22"/>
      <c r="AE358" s="22"/>
    </row>
    <row r="359">
      <c r="A359" s="22"/>
      <c r="B359" s="22" t="str">
        <f>IF(ISBLANK(A359),"",VLOOKUP(A359,DOI_URL!$B$1:$C$74,2,FALSE()))</f>
        <v/>
      </c>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c r="AA359" s="22"/>
      <c r="AB359" s="22"/>
      <c r="AC359" s="22"/>
      <c r="AD359" s="22"/>
      <c r="AE359" s="22"/>
    </row>
    <row r="360">
      <c r="A360" s="22"/>
      <c r="B360" s="22" t="str">
        <f>IF(ISBLANK(A360),"",VLOOKUP(A360,DOI_URL!$B$1:$C$74,2,FALSE()))</f>
        <v/>
      </c>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c r="AA360" s="22"/>
      <c r="AB360" s="22"/>
      <c r="AC360" s="22"/>
      <c r="AD360" s="22"/>
      <c r="AE360" s="22"/>
    </row>
    <row r="361">
      <c r="A361" s="22"/>
      <c r="B361" s="22" t="str">
        <f>IF(ISBLANK(A361),"",VLOOKUP(A361,DOI_URL!$B$1:$C$74,2,FALSE()))</f>
        <v/>
      </c>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c r="AA361" s="22"/>
      <c r="AB361" s="22"/>
      <c r="AC361" s="22"/>
      <c r="AD361" s="22"/>
      <c r="AE361" s="22"/>
    </row>
    <row r="362">
      <c r="A362" s="22"/>
      <c r="B362" s="22" t="str">
        <f>IF(ISBLANK(A362),"",VLOOKUP(A362,DOI_URL!$B$1:$C$74,2,FALSE()))</f>
        <v/>
      </c>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c r="AA362" s="22"/>
      <c r="AB362" s="22"/>
      <c r="AC362" s="22"/>
      <c r="AD362" s="22"/>
      <c r="AE362" s="22"/>
    </row>
    <row r="363">
      <c r="A363" s="22"/>
      <c r="B363" s="22" t="str">
        <f>IF(ISBLANK(A363),"",VLOOKUP(A363,DOI_URL!$B$1:$C$74,2,FALSE()))</f>
        <v/>
      </c>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c r="AA363" s="22"/>
      <c r="AB363" s="22"/>
      <c r="AC363" s="22"/>
      <c r="AD363" s="22"/>
      <c r="AE363" s="22"/>
    </row>
    <row r="364">
      <c r="A364" s="22"/>
      <c r="B364" s="22" t="str">
        <f>IF(ISBLANK(A364),"",VLOOKUP(A364,DOI_URL!$B$1:$C$74,2,FALSE()))</f>
        <v/>
      </c>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c r="AA364" s="22"/>
      <c r="AB364" s="22"/>
      <c r="AC364" s="22"/>
      <c r="AD364" s="22"/>
      <c r="AE364" s="22"/>
    </row>
    <row r="365">
      <c r="A365" s="22"/>
      <c r="B365" s="22" t="str">
        <f>IF(ISBLANK(A365),"",VLOOKUP(A365,DOI_URL!$B$1:$C$74,2,FALSE()))</f>
        <v/>
      </c>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c r="AA365" s="22"/>
      <c r="AB365" s="22"/>
      <c r="AC365" s="22"/>
      <c r="AD365" s="22"/>
      <c r="AE365" s="22"/>
    </row>
    <row r="366">
      <c r="A366" s="22"/>
      <c r="B366" s="22" t="str">
        <f>IF(ISBLANK(A366),"",VLOOKUP(A366,DOI_URL!$B$1:$C$74,2,FALSE()))</f>
        <v/>
      </c>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c r="AA366" s="22"/>
      <c r="AB366" s="22"/>
      <c r="AC366" s="22"/>
      <c r="AD366" s="22"/>
      <c r="AE366" s="22"/>
    </row>
    <row r="367">
      <c r="A367" s="22"/>
      <c r="B367" s="22" t="str">
        <f>IF(ISBLANK(A367),"",VLOOKUP(A367,DOI_URL!$B$1:$C$74,2,FALSE()))</f>
        <v/>
      </c>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c r="AA367" s="22"/>
      <c r="AB367" s="22"/>
      <c r="AC367" s="22"/>
      <c r="AD367" s="22"/>
      <c r="AE367" s="22"/>
    </row>
    <row r="368">
      <c r="A368" s="22"/>
      <c r="B368" s="22" t="str">
        <f>IF(ISBLANK(A368),"",VLOOKUP(A368,DOI_URL!$B$1:$C$74,2,FALSE()))</f>
        <v/>
      </c>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c r="AA368" s="22"/>
      <c r="AB368" s="22"/>
      <c r="AC368" s="22"/>
      <c r="AD368" s="22"/>
      <c r="AE368" s="22"/>
    </row>
    <row r="369">
      <c r="A369" s="22"/>
      <c r="B369" s="22" t="str">
        <f>IF(ISBLANK(A369),"",VLOOKUP(A369,DOI_URL!$B$1:$C$74,2,FALSE()))</f>
        <v/>
      </c>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c r="AA369" s="22"/>
      <c r="AB369" s="22"/>
      <c r="AC369" s="22"/>
      <c r="AD369" s="22"/>
      <c r="AE369" s="22"/>
    </row>
    <row r="370">
      <c r="A370" s="22"/>
      <c r="B370" s="22" t="str">
        <f>IF(ISBLANK(A370),"",VLOOKUP(A370,DOI_URL!$B$1:$C$74,2,FALSE()))</f>
        <v/>
      </c>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c r="AA370" s="22"/>
      <c r="AB370" s="22"/>
      <c r="AC370" s="22"/>
      <c r="AD370" s="22"/>
      <c r="AE370" s="22"/>
    </row>
    <row r="371">
      <c r="A371" s="22"/>
      <c r="B371" s="22" t="str">
        <f>IF(ISBLANK(A371),"",VLOOKUP(A371,DOI_URL!$B$1:$C$74,2,FALSE()))</f>
        <v/>
      </c>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c r="AA371" s="22"/>
      <c r="AB371" s="22"/>
      <c r="AC371" s="22"/>
      <c r="AD371" s="22"/>
      <c r="AE371" s="22"/>
    </row>
    <row r="372">
      <c r="A372" s="22"/>
      <c r="B372" s="22" t="str">
        <f>IF(ISBLANK(A372),"",VLOOKUP(A372,DOI_URL!$B$1:$C$74,2,FALSE()))</f>
        <v/>
      </c>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c r="AA372" s="22"/>
      <c r="AB372" s="22"/>
      <c r="AC372" s="22"/>
      <c r="AD372" s="22"/>
      <c r="AE372" s="22"/>
    </row>
    <row r="373">
      <c r="A373" s="22"/>
      <c r="B373" s="22" t="str">
        <f>IF(ISBLANK(A373),"",VLOOKUP(A373,DOI_URL!$B$1:$C$74,2,FALSE()))</f>
        <v/>
      </c>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c r="AA373" s="22"/>
      <c r="AB373" s="22"/>
      <c r="AC373" s="22"/>
      <c r="AD373" s="22"/>
      <c r="AE373" s="22"/>
    </row>
    <row r="374">
      <c r="A374" s="22"/>
      <c r="B374" s="22" t="str">
        <f>IF(ISBLANK(A374),"",VLOOKUP(A374,DOI_URL!$B$1:$C$74,2,FALSE()))</f>
        <v/>
      </c>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c r="AA374" s="22"/>
      <c r="AB374" s="22"/>
      <c r="AC374" s="22"/>
      <c r="AD374" s="22"/>
      <c r="AE374" s="22"/>
    </row>
    <row r="375">
      <c r="A375" s="22"/>
      <c r="B375" s="22" t="str">
        <f>IF(ISBLANK(A375),"",VLOOKUP(A375,DOI_URL!$B$1:$C$74,2,FALSE()))</f>
        <v/>
      </c>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row>
    <row r="376">
      <c r="A376" s="22"/>
      <c r="B376" s="22" t="str">
        <f>IF(ISBLANK(A376),"",VLOOKUP(A376,DOI_URL!$B$1:$C$74,2,FALSE()))</f>
        <v/>
      </c>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c r="AA376" s="22"/>
      <c r="AB376" s="22"/>
      <c r="AC376" s="22"/>
      <c r="AD376" s="22"/>
      <c r="AE376" s="22"/>
    </row>
    <row r="377">
      <c r="A377" s="22"/>
      <c r="B377" s="22" t="str">
        <f>IF(ISBLANK(A377),"",VLOOKUP(A377,DOI_URL!$B$1:$C$74,2,FALSE()))</f>
        <v/>
      </c>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c r="AA377" s="22"/>
      <c r="AB377" s="22"/>
      <c r="AC377" s="22"/>
      <c r="AD377" s="22"/>
      <c r="AE377" s="22"/>
    </row>
    <row r="378">
      <c r="A378" s="22"/>
      <c r="B378" s="22" t="str">
        <f>IF(ISBLANK(A378),"",VLOOKUP(A378,DOI_URL!$B$1:$C$74,2,FALSE()))</f>
        <v/>
      </c>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c r="AA378" s="22"/>
      <c r="AB378" s="22"/>
      <c r="AC378" s="22"/>
      <c r="AD378" s="22"/>
      <c r="AE378" s="22"/>
    </row>
    <row r="379">
      <c r="A379" s="22"/>
      <c r="B379" s="22" t="str">
        <f>IF(ISBLANK(A379),"",VLOOKUP(A379,DOI_URL!$B$1:$C$74,2,FALSE()))</f>
        <v/>
      </c>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c r="AA379" s="22"/>
      <c r="AB379" s="22"/>
      <c r="AC379" s="22"/>
      <c r="AD379" s="22"/>
      <c r="AE379" s="22"/>
    </row>
    <row r="380">
      <c r="A380" s="22"/>
      <c r="B380" s="22" t="str">
        <f>IF(ISBLANK(A380),"",VLOOKUP(A380,DOI_URL!$B$1:$C$74,2,FALSE()))</f>
        <v/>
      </c>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c r="AA380" s="22"/>
      <c r="AB380" s="22"/>
      <c r="AC380" s="22"/>
      <c r="AD380" s="22"/>
      <c r="AE380" s="22"/>
    </row>
    <row r="381">
      <c r="A381" s="22"/>
      <c r="B381" s="22" t="str">
        <f>IF(ISBLANK(A381),"",VLOOKUP(A381,DOI_URL!$B$1:$C$74,2,FALSE()))</f>
        <v/>
      </c>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c r="AA381" s="22"/>
      <c r="AB381" s="22"/>
      <c r="AC381" s="22"/>
      <c r="AD381" s="22"/>
      <c r="AE381" s="22"/>
    </row>
    <row r="382">
      <c r="A382" s="22"/>
      <c r="B382" s="22" t="str">
        <f>IF(ISBLANK(A382),"",VLOOKUP(A382,DOI_URL!$B$1:$C$74,2,FALSE()))</f>
        <v/>
      </c>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c r="AA382" s="22"/>
      <c r="AB382" s="22"/>
      <c r="AC382" s="22"/>
      <c r="AD382" s="22"/>
      <c r="AE382" s="22"/>
    </row>
    <row r="383">
      <c r="A383" s="22"/>
      <c r="B383" s="22" t="str">
        <f>IF(ISBLANK(A383),"",VLOOKUP(A383,DOI_URL!$B$1:$C$74,2,FALSE()))</f>
        <v/>
      </c>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c r="AA383" s="22"/>
      <c r="AB383" s="22"/>
      <c r="AC383" s="22"/>
      <c r="AD383" s="22"/>
      <c r="AE383" s="22"/>
    </row>
    <row r="384">
      <c r="A384" s="22"/>
      <c r="B384" s="22" t="str">
        <f>IF(ISBLANK(A384),"",VLOOKUP(A384,DOI_URL!$B$1:$C$74,2,FALSE()))</f>
        <v/>
      </c>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c r="AA384" s="22"/>
      <c r="AB384" s="22"/>
      <c r="AC384" s="22"/>
      <c r="AD384" s="22"/>
      <c r="AE384" s="22"/>
    </row>
    <row r="385">
      <c r="A385" s="22"/>
      <c r="B385" s="22" t="str">
        <f>IF(ISBLANK(A385),"",VLOOKUP(A385,DOI_URL!$B$1:$C$74,2,FALSE()))</f>
        <v/>
      </c>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c r="AA385" s="22"/>
      <c r="AB385" s="22"/>
      <c r="AC385" s="22"/>
      <c r="AD385" s="22"/>
      <c r="AE385" s="22"/>
    </row>
    <row r="386">
      <c r="A386" s="22"/>
      <c r="B386" s="22" t="str">
        <f>IF(ISBLANK(A386),"",VLOOKUP(A386,DOI_URL!$B$1:$C$74,2,FALSE()))</f>
        <v/>
      </c>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c r="AA386" s="22"/>
      <c r="AB386" s="22"/>
      <c r="AC386" s="22"/>
      <c r="AD386" s="22"/>
      <c r="AE386" s="22"/>
    </row>
    <row r="387">
      <c r="A387" s="22"/>
      <c r="B387" s="22" t="str">
        <f>IF(ISBLANK(A387),"",VLOOKUP(A387,DOI_URL!$B$1:$C$74,2,FALSE()))</f>
        <v/>
      </c>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c r="AA387" s="22"/>
      <c r="AB387" s="22"/>
      <c r="AC387" s="22"/>
      <c r="AD387" s="22"/>
      <c r="AE387" s="22"/>
    </row>
    <row r="388">
      <c r="A388" s="22"/>
      <c r="B388" s="22" t="str">
        <f>IF(ISBLANK(A388),"",VLOOKUP(A388,DOI_URL!$B$1:$C$74,2,FALSE()))</f>
        <v/>
      </c>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c r="AA388" s="22"/>
      <c r="AB388" s="22"/>
      <c r="AC388" s="22"/>
      <c r="AD388" s="22"/>
      <c r="AE388" s="22"/>
    </row>
    <row r="389">
      <c r="A389" s="22"/>
      <c r="B389" s="22" t="str">
        <f>IF(ISBLANK(A389),"",VLOOKUP(A389,DOI_URL!$B$1:$C$74,2,FALSE()))</f>
        <v/>
      </c>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c r="AA389" s="22"/>
      <c r="AB389" s="22"/>
      <c r="AC389" s="22"/>
      <c r="AD389" s="22"/>
      <c r="AE389" s="22"/>
    </row>
    <row r="390">
      <c r="A390" s="22"/>
      <c r="B390" s="22" t="str">
        <f>IF(ISBLANK(A390),"",VLOOKUP(A390,DOI_URL!$B$1:$C$74,2,FALSE()))</f>
        <v/>
      </c>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c r="AA390" s="22"/>
      <c r="AB390" s="22"/>
      <c r="AC390" s="22"/>
      <c r="AD390" s="22"/>
      <c r="AE390" s="22"/>
    </row>
    <row r="391">
      <c r="A391" s="22"/>
      <c r="B391" s="22" t="str">
        <f>IF(ISBLANK(A391),"",VLOOKUP(A391,DOI_URL!$B$1:$C$74,2,FALSE()))</f>
        <v/>
      </c>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c r="AA391" s="22"/>
      <c r="AB391" s="22"/>
      <c r="AC391" s="22"/>
      <c r="AD391" s="22"/>
      <c r="AE391" s="22"/>
    </row>
    <row r="392">
      <c r="A392" s="22"/>
      <c r="B392" s="22" t="str">
        <f>IF(ISBLANK(A392),"",VLOOKUP(A392,DOI_URL!$B$1:$C$74,2,FALSE()))</f>
        <v/>
      </c>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c r="AA392" s="22"/>
      <c r="AB392" s="22"/>
      <c r="AC392" s="22"/>
      <c r="AD392" s="22"/>
      <c r="AE392" s="22"/>
    </row>
    <row r="393">
      <c r="A393" s="22"/>
      <c r="B393" s="22" t="str">
        <f>IF(ISBLANK(A393),"",VLOOKUP(A393,DOI_URL!$B$1:$C$74,2,FALSE()))</f>
        <v/>
      </c>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c r="AA393" s="22"/>
      <c r="AB393" s="22"/>
      <c r="AC393" s="22"/>
      <c r="AD393" s="22"/>
      <c r="AE393" s="22"/>
    </row>
    <row r="394">
      <c r="A394" s="22"/>
      <c r="B394" s="22" t="str">
        <f>IF(ISBLANK(A394),"",VLOOKUP(A394,DOI_URL!$B$1:$C$74,2,FALSE()))</f>
        <v/>
      </c>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c r="AA394" s="22"/>
      <c r="AB394" s="22"/>
      <c r="AC394" s="22"/>
      <c r="AD394" s="22"/>
      <c r="AE394" s="22"/>
    </row>
    <row r="395">
      <c r="A395" s="22"/>
      <c r="B395" s="22" t="str">
        <f>IF(ISBLANK(A395),"",VLOOKUP(A395,DOI_URL!$B$1:$C$74,2,FALSE()))</f>
        <v/>
      </c>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c r="AA395" s="22"/>
      <c r="AB395" s="22"/>
      <c r="AC395" s="22"/>
      <c r="AD395" s="22"/>
      <c r="AE395" s="22"/>
    </row>
    <row r="396">
      <c r="A396" s="22"/>
      <c r="B396" s="22" t="str">
        <f>IF(ISBLANK(A396),"",VLOOKUP(A396,DOI_URL!$B$1:$C$74,2,FALSE()))</f>
        <v/>
      </c>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c r="AA396" s="22"/>
      <c r="AB396" s="22"/>
      <c r="AC396" s="22"/>
      <c r="AD396" s="22"/>
      <c r="AE396" s="22"/>
    </row>
    <row r="397">
      <c r="A397" s="22"/>
      <c r="B397" s="22" t="str">
        <f>IF(ISBLANK(A397),"",VLOOKUP(A397,DOI_URL!$B$1:$C$74,2,FALSE()))</f>
        <v/>
      </c>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c r="AA397" s="22"/>
      <c r="AB397" s="22"/>
      <c r="AC397" s="22"/>
      <c r="AD397" s="22"/>
      <c r="AE397" s="22"/>
    </row>
    <row r="398">
      <c r="A398" s="22"/>
      <c r="B398" s="22" t="str">
        <f>IF(ISBLANK(A398),"",VLOOKUP(A398,DOI_URL!$B$1:$C$74,2,FALSE()))</f>
        <v/>
      </c>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c r="AA398" s="22"/>
      <c r="AB398" s="22"/>
      <c r="AC398" s="22"/>
      <c r="AD398" s="22"/>
      <c r="AE398" s="22"/>
    </row>
    <row r="399">
      <c r="A399" s="22"/>
      <c r="B399" s="22" t="str">
        <f>IF(ISBLANK(A399),"",VLOOKUP(A399,DOI_URL!$B$1:$C$74,2,FALSE()))</f>
        <v/>
      </c>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c r="AA399" s="22"/>
      <c r="AB399" s="22"/>
      <c r="AC399" s="22"/>
      <c r="AD399" s="22"/>
      <c r="AE399" s="22"/>
    </row>
    <row r="400">
      <c r="A400" s="22"/>
      <c r="B400" s="22" t="str">
        <f>IF(ISBLANK(A400),"",VLOOKUP(A400,DOI_URL!$B$1:$C$74,2,FALSE()))</f>
        <v/>
      </c>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row>
    <row r="401">
      <c r="A401" s="22"/>
      <c r="B401" s="22" t="str">
        <f>IF(ISBLANK(A401),"",VLOOKUP(A401,DOI_URL!$B$1:$C$74,2,FALSE()))</f>
        <v/>
      </c>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c r="AA401" s="22"/>
      <c r="AB401" s="22"/>
      <c r="AC401" s="22"/>
      <c r="AD401" s="22"/>
      <c r="AE401" s="22"/>
    </row>
    <row r="402">
      <c r="A402" s="22"/>
      <c r="B402" s="22" t="str">
        <f>IF(ISBLANK(A402),"",VLOOKUP(A402,DOI_URL!$B$1:$C$74,2,FALSE()))</f>
        <v/>
      </c>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c r="AA402" s="22"/>
      <c r="AB402" s="22"/>
      <c r="AC402" s="22"/>
      <c r="AD402" s="22"/>
      <c r="AE402" s="22"/>
    </row>
    <row r="403">
      <c r="A403" s="22"/>
      <c r="B403" s="22" t="str">
        <f>IF(ISBLANK(A403),"",VLOOKUP(A403,DOI_URL!$B$1:$C$74,2,FALSE()))</f>
        <v/>
      </c>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c r="AA403" s="22"/>
      <c r="AB403" s="22"/>
      <c r="AC403" s="22"/>
      <c r="AD403" s="22"/>
      <c r="AE403" s="22"/>
    </row>
    <row r="404">
      <c r="A404" s="22"/>
      <c r="B404" s="22" t="str">
        <f>IF(ISBLANK(A404),"",VLOOKUP(A404,DOI_URL!$B$1:$C$74,2,FALSE()))</f>
        <v/>
      </c>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c r="AA404" s="22"/>
      <c r="AB404" s="22"/>
      <c r="AC404" s="22"/>
      <c r="AD404" s="22"/>
      <c r="AE404" s="22"/>
    </row>
    <row r="405">
      <c r="A405" s="22"/>
      <c r="B405" s="22" t="str">
        <f>IF(ISBLANK(A405),"",VLOOKUP(A405,DOI_URL!$B$1:$C$74,2,FALSE()))</f>
        <v/>
      </c>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c r="AA405" s="22"/>
      <c r="AB405" s="22"/>
      <c r="AC405" s="22"/>
      <c r="AD405" s="22"/>
      <c r="AE405" s="22"/>
    </row>
    <row r="406">
      <c r="A406" s="22"/>
      <c r="B406" s="22" t="str">
        <f>IF(ISBLANK(A406),"",VLOOKUP(A406,DOI_URL!$B$1:$C$74,2,FALSE()))</f>
        <v/>
      </c>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c r="AA406" s="22"/>
      <c r="AB406" s="22"/>
      <c r="AC406" s="22"/>
      <c r="AD406" s="22"/>
      <c r="AE406" s="22"/>
    </row>
    <row r="407">
      <c r="A407" s="22"/>
      <c r="B407" s="22" t="str">
        <f>IF(ISBLANK(A407),"",VLOOKUP(A407,DOI_URL!$B$1:$C$74,2,FALSE()))</f>
        <v/>
      </c>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c r="AA407" s="22"/>
      <c r="AB407" s="22"/>
      <c r="AC407" s="22"/>
      <c r="AD407" s="22"/>
      <c r="AE407" s="22"/>
    </row>
    <row r="408">
      <c r="A408" s="22"/>
      <c r="B408" s="22" t="str">
        <f>IF(ISBLANK(A408),"",VLOOKUP(A408,DOI_URL!$B$1:$C$74,2,FALSE()))</f>
        <v/>
      </c>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c r="AA408" s="22"/>
      <c r="AB408" s="22"/>
      <c r="AC408" s="22"/>
      <c r="AD408" s="22"/>
      <c r="AE408" s="22"/>
    </row>
    <row r="409">
      <c r="A409" s="22"/>
      <c r="B409" s="22" t="str">
        <f>IF(ISBLANK(A409),"",VLOOKUP(A409,DOI_URL!$B$1:$C$74,2,FALSE()))</f>
        <v/>
      </c>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c r="AA409" s="22"/>
      <c r="AB409" s="22"/>
      <c r="AC409" s="22"/>
      <c r="AD409" s="22"/>
      <c r="AE409" s="22"/>
    </row>
    <row r="410">
      <c r="A410" s="22"/>
      <c r="B410" s="22" t="str">
        <f>IF(ISBLANK(A410),"",VLOOKUP(A410,DOI_URL!$B$1:$C$74,2,FALSE()))</f>
        <v/>
      </c>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c r="AA410" s="22"/>
      <c r="AB410" s="22"/>
      <c r="AC410" s="22"/>
      <c r="AD410" s="22"/>
      <c r="AE410" s="22"/>
    </row>
    <row r="411">
      <c r="A411" s="22"/>
      <c r="B411" s="22" t="str">
        <f>IF(ISBLANK(A411),"",VLOOKUP(A411,DOI_URL!$B$1:$C$74,2,FALSE()))</f>
        <v/>
      </c>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c r="AA411" s="22"/>
      <c r="AB411" s="22"/>
      <c r="AC411" s="22"/>
      <c r="AD411" s="22"/>
      <c r="AE411" s="22"/>
    </row>
    <row r="412">
      <c r="A412" s="22"/>
      <c r="B412" s="22" t="str">
        <f>IF(ISBLANK(A412),"",VLOOKUP(A412,DOI_URL!$B$1:$C$74,2,FALSE()))</f>
        <v/>
      </c>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c r="AA412" s="22"/>
      <c r="AB412" s="22"/>
      <c r="AC412" s="22"/>
      <c r="AD412" s="22"/>
      <c r="AE412" s="22"/>
    </row>
    <row r="413">
      <c r="A413" s="22"/>
      <c r="B413" s="22" t="str">
        <f>IF(ISBLANK(A413),"",VLOOKUP(A413,DOI_URL!$B$1:$C$74,2,FALSE()))</f>
        <v/>
      </c>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c r="AA413" s="22"/>
      <c r="AB413" s="22"/>
      <c r="AC413" s="22"/>
      <c r="AD413" s="22"/>
      <c r="AE413" s="22"/>
    </row>
    <row r="414">
      <c r="A414" s="22"/>
      <c r="B414" s="22" t="str">
        <f>IF(ISBLANK(A414),"",VLOOKUP(A414,DOI_URL!$B$1:$C$74,2,FALSE()))</f>
        <v/>
      </c>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c r="AA414" s="22"/>
      <c r="AB414" s="22"/>
      <c r="AC414" s="22"/>
      <c r="AD414" s="22"/>
      <c r="AE414" s="22"/>
    </row>
    <row r="415">
      <c r="A415" s="22"/>
      <c r="B415" s="22" t="str">
        <f>IF(ISBLANK(A415),"",VLOOKUP(A415,DOI_URL!$B$1:$C$74,2,FALSE()))</f>
        <v/>
      </c>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c r="AA415" s="22"/>
      <c r="AB415" s="22"/>
      <c r="AC415" s="22"/>
      <c r="AD415" s="22"/>
      <c r="AE415" s="22"/>
    </row>
    <row r="416">
      <c r="A416" s="22"/>
      <c r="B416" s="22" t="str">
        <f>IF(ISBLANK(A416),"",VLOOKUP(A416,DOI_URL!$B$1:$C$74,2,FALSE()))</f>
        <v/>
      </c>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c r="AA416" s="22"/>
      <c r="AB416" s="22"/>
      <c r="AC416" s="22"/>
      <c r="AD416" s="22"/>
      <c r="AE416" s="22"/>
    </row>
    <row r="417">
      <c r="A417" s="22"/>
      <c r="B417" s="22" t="str">
        <f>IF(ISBLANK(A417),"",VLOOKUP(A417,DOI_URL!$B$1:$C$74,2,FALSE()))</f>
        <v/>
      </c>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c r="AA417" s="22"/>
      <c r="AB417" s="22"/>
      <c r="AC417" s="22"/>
      <c r="AD417" s="22"/>
      <c r="AE417" s="22"/>
    </row>
    <row r="418">
      <c r="A418" s="22"/>
      <c r="B418" s="22" t="str">
        <f>IF(ISBLANK(A418),"",VLOOKUP(A418,DOI_URL!$B$1:$C$74,2,FALSE()))</f>
        <v/>
      </c>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c r="AA418" s="22"/>
      <c r="AB418" s="22"/>
      <c r="AC418" s="22"/>
      <c r="AD418" s="22"/>
      <c r="AE418" s="22"/>
    </row>
    <row r="419">
      <c r="A419" s="22"/>
      <c r="B419" s="22" t="str">
        <f>IF(ISBLANK(A419),"",VLOOKUP(A419,DOI_URL!$B$1:$C$74,2,FALSE()))</f>
        <v/>
      </c>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c r="AA419" s="22"/>
      <c r="AB419" s="22"/>
      <c r="AC419" s="22"/>
      <c r="AD419" s="22"/>
      <c r="AE419" s="22"/>
    </row>
    <row r="420">
      <c r="A420" s="22"/>
      <c r="B420" s="22" t="str">
        <f>IF(ISBLANK(A420),"",VLOOKUP(A420,DOI_URL!$B$1:$C$74,2,FALSE()))</f>
        <v/>
      </c>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c r="AA420" s="22"/>
      <c r="AB420" s="22"/>
      <c r="AC420" s="22"/>
      <c r="AD420" s="22"/>
      <c r="AE420" s="22"/>
    </row>
    <row r="421">
      <c r="A421" s="22"/>
      <c r="B421" s="22" t="str">
        <f>IF(ISBLANK(A421),"",VLOOKUP(A421,DOI_URL!$B$1:$C$74,2,FALSE()))</f>
        <v/>
      </c>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c r="AA421" s="22"/>
      <c r="AB421" s="22"/>
      <c r="AC421" s="22"/>
      <c r="AD421" s="22"/>
      <c r="AE421" s="22"/>
    </row>
    <row r="422">
      <c r="A422" s="22"/>
      <c r="B422" s="22" t="str">
        <f>IF(ISBLANK(A422),"",VLOOKUP(A422,DOI_URL!$B$1:$C$74,2,FALSE()))</f>
        <v/>
      </c>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c r="AA422" s="22"/>
      <c r="AB422" s="22"/>
      <c r="AC422" s="22"/>
      <c r="AD422" s="22"/>
      <c r="AE422" s="22"/>
    </row>
    <row r="423">
      <c r="A423" s="22"/>
      <c r="B423" s="22" t="str">
        <f>IF(ISBLANK(A423),"",VLOOKUP(A423,DOI_URL!$B$1:$C$74,2,FALSE()))</f>
        <v/>
      </c>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c r="AA423" s="22"/>
      <c r="AB423" s="22"/>
      <c r="AC423" s="22"/>
      <c r="AD423" s="22"/>
      <c r="AE423" s="22"/>
    </row>
    <row r="424">
      <c r="A424" s="22"/>
      <c r="B424" s="22" t="str">
        <f>IF(ISBLANK(A424),"",VLOOKUP(A424,DOI_URL!$B$1:$C$74,2,FALSE()))</f>
        <v/>
      </c>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c r="AA424" s="22"/>
      <c r="AB424" s="22"/>
      <c r="AC424" s="22"/>
      <c r="AD424" s="22"/>
      <c r="AE424" s="22"/>
    </row>
    <row r="425">
      <c r="A425" s="22"/>
      <c r="B425" s="22" t="str">
        <f>IF(ISBLANK(A425),"",VLOOKUP(A425,DOI_URL!$B$1:$C$74,2,FALSE()))</f>
        <v/>
      </c>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row>
    <row r="426">
      <c r="A426" s="22"/>
      <c r="B426" s="22" t="str">
        <f>IF(ISBLANK(A426),"",VLOOKUP(A426,DOI_URL!$B$1:$C$74,2,FALSE()))</f>
        <v/>
      </c>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c r="AA426" s="22"/>
      <c r="AB426" s="22"/>
      <c r="AC426" s="22"/>
      <c r="AD426" s="22"/>
      <c r="AE426" s="22"/>
    </row>
    <row r="427">
      <c r="A427" s="22"/>
      <c r="B427" s="22" t="str">
        <f>IF(ISBLANK(A427),"",VLOOKUP(A427,DOI_URL!$B$1:$C$74,2,FALSE()))</f>
        <v/>
      </c>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c r="AA427" s="22"/>
      <c r="AB427" s="22"/>
      <c r="AC427" s="22"/>
      <c r="AD427" s="22"/>
      <c r="AE427" s="22"/>
    </row>
    <row r="428">
      <c r="A428" s="22"/>
      <c r="B428" s="22" t="str">
        <f>IF(ISBLANK(A428),"",VLOOKUP(A428,DOI_URL!$B$1:$C$74,2,FALSE()))</f>
        <v/>
      </c>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c r="AA428" s="22"/>
      <c r="AB428" s="22"/>
      <c r="AC428" s="22"/>
      <c r="AD428" s="22"/>
      <c r="AE428" s="22"/>
    </row>
    <row r="429">
      <c r="A429" s="22"/>
      <c r="B429" s="22" t="str">
        <f>IF(ISBLANK(A429),"",VLOOKUP(A429,DOI_URL!$B$1:$C$74,2,FALSE()))</f>
        <v/>
      </c>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c r="AA429" s="22"/>
      <c r="AB429" s="22"/>
      <c r="AC429" s="22"/>
      <c r="AD429" s="22"/>
      <c r="AE429" s="22"/>
    </row>
    <row r="430">
      <c r="A430" s="22"/>
      <c r="B430" s="22" t="str">
        <f>IF(ISBLANK(A430),"",VLOOKUP(A430,DOI_URL!$B$1:$C$74,2,FALSE()))</f>
        <v/>
      </c>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c r="AA430" s="22"/>
      <c r="AB430" s="22"/>
      <c r="AC430" s="22"/>
      <c r="AD430" s="22"/>
      <c r="AE430" s="22"/>
    </row>
    <row r="431">
      <c r="A431" s="22"/>
      <c r="B431" s="22" t="str">
        <f>IF(ISBLANK(A431),"",VLOOKUP(A431,DOI_URL!$B$1:$C$74,2,FALSE()))</f>
        <v/>
      </c>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c r="AA431" s="22"/>
      <c r="AB431" s="22"/>
      <c r="AC431" s="22"/>
      <c r="AD431" s="22"/>
      <c r="AE431" s="22"/>
    </row>
    <row r="432">
      <c r="A432" s="22"/>
      <c r="B432" s="22" t="str">
        <f>IF(ISBLANK(A432),"",VLOOKUP(A432,DOI_URL!$B$1:$C$74,2,FALSE()))</f>
        <v/>
      </c>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c r="AA432" s="22"/>
      <c r="AB432" s="22"/>
      <c r="AC432" s="22"/>
      <c r="AD432" s="22"/>
      <c r="AE432" s="22"/>
    </row>
    <row r="433">
      <c r="A433" s="22"/>
      <c r="B433" s="22" t="str">
        <f>IF(ISBLANK(A433),"",VLOOKUP(A433,DOI_URL!$B$1:$C$74,2,FALSE()))</f>
        <v/>
      </c>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c r="AA433" s="22"/>
      <c r="AB433" s="22"/>
      <c r="AC433" s="22"/>
      <c r="AD433" s="22"/>
      <c r="AE433" s="22"/>
    </row>
    <row r="434">
      <c r="A434" s="22"/>
      <c r="B434" s="22" t="str">
        <f>IF(ISBLANK(A434),"",VLOOKUP(A434,DOI_URL!$B$1:$C$74,2,FALSE()))</f>
        <v/>
      </c>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c r="AA434" s="22"/>
      <c r="AB434" s="22"/>
      <c r="AC434" s="22"/>
      <c r="AD434" s="22"/>
      <c r="AE434" s="22"/>
    </row>
    <row r="435">
      <c r="A435" s="22"/>
      <c r="B435" s="22" t="str">
        <f>IF(ISBLANK(A435),"",VLOOKUP(A435,DOI_URL!$B$1:$C$74,2,FALSE()))</f>
        <v/>
      </c>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c r="AA435" s="22"/>
      <c r="AB435" s="22"/>
      <c r="AC435" s="22"/>
      <c r="AD435" s="22"/>
      <c r="AE435" s="22"/>
    </row>
    <row r="436">
      <c r="A436" s="22"/>
      <c r="B436" s="22" t="str">
        <f>IF(ISBLANK(A436),"",VLOOKUP(A436,DOI_URL!$B$1:$C$74,2,FALSE()))</f>
        <v/>
      </c>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c r="AA436" s="22"/>
      <c r="AB436" s="22"/>
      <c r="AC436" s="22"/>
      <c r="AD436" s="22"/>
      <c r="AE436" s="22"/>
    </row>
    <row r="437">
      <c r="A437" s="22"/>
      <c r="B437" s="22" t="str">
        <f>IF(ISBLANK(A437),"",VLOOKUP(A437,DOI_URL!$B$1:$C$74,2,FALSE()))</f>
        <v/>
      </c>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c r="AA437" s="22"/>
      <c r="AB437" s="22"/>
      <c r="AC437" s="22"/>
      <c r="AD437" s="22"/>
      <c r="AE437" s="22"/>
    </row>
    <row r="438">
      <c r="A438" s="22"/>
      <c r="B438" s="22" t="str">
        <f>IF(ISBLANK(A438),"",VLOOKUP(A438,DOI_URL!$B$1:$C$74,2,FALSE()))</f>
        <v/>
      </c>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c r="AA438" s="22"/>
      <c r="AB438" s="22"/>
      <c r="AC438" s="22"/>
      <c r="AD438" s="22"/>
      <c r="AE438" s="22"/>
    </row>
    <row r="439">
      <c r="A439" s="22"/>
      <c r="B439" s="22" t="str">
        <f>IF(ISBLANK(A439),"",VLOOKUP(A439,DOI_URL!$B$1:$C$74,2,FALSE()))</f>
        <v/>
      </c>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c r="AA439" s="22"/>
      <c r="AB439" s="22"/>
      <c r="AC439" s="22"/>
      <c r="AD439" s="22"/>
      <c r="AE439" s="22"/>
    </row>
    <row r="440">
      <c r="A440" s="22"/>
      <c r="B440" s="22" t="str">
        <f>IF(ISBLANK(A440),"",VLOOKUP(A440,DOI_URL!$B$1:$C$74,2,FALSE()))</f>
        <v/>
      </c>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c r="AA440" s="22"/>
      <c r="AB440" s="22"/>
      <c r="AC440" s="22"/>
      <c r="AD440" s="22"/>
      <c r="AE440" s="22"/>
    </row>
    <row r="441">
      <c r="A441" s="22"/>
      <c r="B441" s="22" t="str">
        <f>IF(ISBLANK(A441),"",VLOOKUP(A441,DOI_URL!$B$1:$C$74,2,FALSE()))</f>
        <v/>
      </c>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c r="AA441" s="22"/>
      <c r="AB441" s="22"/>
      <c r="AC441" s="22"/>
      <c r="AD441" s="22"/>
      <c r="AE441" s="22"/>
    </row>
    <row r="442">
      <c r="A442" s="22"/>
      <c r="B442" s="22" t="str">
        <f>IF(ISBLANK(A442),"",VLOOKUP(A442,DOI_URL!$B$1:$C$74,2,FALSE()))</f>
        <v/>
      </c>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c r="AA442" s="22"/>
      <c r="AB442" s="22"/>
      <c r="AC442" s="22"/>
      <c r="AD442" s="22"/>
      <c r="AE442" s="22"/>
    </row>
    <row r="443">
      <c r="A443" s="22"/>
      <c r="B443" s="22" t="str">
        <f>IF(ISBLANK(A443),"",VLOOKUP(A443,DOI_URL!$B$1:$C$74,2,FALSE()))</f>
        <v/>
      </c>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c r="AA443" s="22"/>
      <c r="AB443" s="22"/>
      <c r="AC443" s="22"/>
      <c r="AD443" s="22"/>
      <c r="AE443" s="22"/>
    </row>
    <row r="444">
      <c r="A444" s="22"/>
      <c r="B444" s="22" t="str">
        <f>IF(ISBLANK(A444),"",VLOOKUP(A444,DOI_URL!$B$1:$C$74,2,FALSE()))</f>
        <v/>
      </c>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c r="AA444" s="22"/>
      <c r="AB444" s="22"/>
      <c r="AC444" s="22"/>
      <c r="AD444" s="22"/>
      <c r="AE444" s="22"/>
    </row>
    <row r="445">
      <c r="A445" s="22"/>
      <c r="B445" s="22" t="str">
        <f>IF(ISBLANK(A445),"",VLOOKUP(A445,DOI_URL!$B$1:$C$74,2,FALSE()))</f>
        <v/>
      </c>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c r="AA445" s="22"/>
      <c r="AB445" s="22"/>
      <c r="AC445" s="22"/>
      <c r="AD445" s="22"/>
      <c r="AE445" s="22"/>
    </row>
    <row r="446">
      <c r="A446" s="22"/>
      <c r="B446" s="22" t="str">
        <f>IF(ISBLANK(A446),"",VLOOKUP(A446,DOI_URL!$B$1:$C$74,2,FALSE()))</f>
        <v/>
      </c>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c r="AA446" s="22"/>
      <c r="AB446" s="22"/>
      <c r="AC446" s="22"/>
      <c r="AD446" s="22"/>
      <c r="AE446" s="22"/>
    </row>
    <row r="447">
      <c r="A447" s="22"/>
      <c r="B447" s="22" t="str">
        <f>IF(ISBLANK(A447),"",VLOOKUP(A447,DOI_URL!$B$1:$C$74,2,FALSE()))</f>
        <v/>
      </c>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c r="AA447" s="22"/>
      <c r="AB447" s="22"/>
      <c r="AC447" s="22"/>
      <c r="AD447" s="22"/>
      <c r="AE447" s="22"/>
    </row>
    <row r="448">
      <c r="A448" s="22"/>
      <c r="B448" s="22" t="str">
        <f>IF(ISBLANK(A448),"",VLOOKUP(A448,DOI_URL!$B$1:$C$74,2,FALSE()))</f>
        <v/>
      </c>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c r="AA448" s="22"/>
      <c r="AB448" s="22"/>
      <c r="AC448" s="22"/>
      <c r="AD448" s="22"/>
      <c r="AE448" s="22"/>
    </row>
    <row r="449">
      <c r="A449" s="22"/>
      <c r="B449" s="22" t="str">
        <f>IF(ISBLANK(A449),"",VLOOKUP(A449,DOI_URL!$B$1:$C$74,2,FALSE()))</f>
        <v/>
      </c>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c r="AA449" s="22"/>
      <c r="AB449" s="22"/>
      <c r="AC449" s="22"/>
      <c r="AD449" s="22"/>
      <c r="AE449" s="22"/>
    </row>
    <row r="450">
      <c r="A450" s="22"/>
      <c r="B450" s="22" t="str">
        <f>IF(ISBLANK(A450),"",VLOOKUP(A450,DOI_URL!$B$1:$C$74,2,FALSE()))</f>
        <v/>
      </c>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row>
    <row r="451">
      <c r="A451" s="22"/>
      <c r="B451" s="22" t="str">
        <f>IF(ISBLANK(A451),"",VLOOKUP(A451,DOI_URL!$B$1:$C$74,2,FALSE()))</f>
        <v/>
      </c>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c r="AA451" s="22"/>
      <c r="AB451" s="22"/>
      <c r="AC451" s="22"/>
      <c r="AD451" s="22"/>
      <c r="AE451" s="22"/>
    </row>
    <row r="452">
      <c r="A452" s="22"/>
      <c r="B452" s="22" t="str">
        <f>IF(ISBLANK(A452),"",VLOOKUP(A452,DOI_URL!$B$1:$C$74,2,FALSE()))</f>
        <v/>
      </c>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c r="AA452" s="22"/>
      <c r="AB452" s="22"/>
      <c r="AC452" s="22"/>
      <c r="AD452" s="22"/>
      <c r="AE452" s="22"/>
    </row>
    <row r="453">
      <c r="A453" s="22"/>
      <c r="B453" s="22" t="str">
        <f>IF(ISBLANK(A453),"",VLOOKUP(A453,DOI_URL!$B$1:$C$74,2,FALSE()))</f>
        <v/>
      </c>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c r="AA453" s="22"/>
      <c r="AB453" s="22"/>
      <c r="AC453" s="22"/>
      <c r="AD453" s="22"/>
      <c r="AE453" s="22"/>
    </row>
    <row r="454">
      <c r="A454" s="22"/>
      <c r="B454" s="22" t="str">
        <f>IF(ISBLANK(A454),"",VLOOKUP(A454,DOI_URL!$B$1:$C$74,2,FALSE()))</f>
        <v/>
      </c>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c r="AA454" s="22"/>
      <c r="AB454" s="22"/>
      <c r="AC454" s="22"/>
      <c r="AD454" s="22"/>
      <c r="AE454" s="22"/>
    </row>
    <row r="455">
      <c r="A455" s="22"/>
      <c r="B455" s="22" t="str">
        <f>IF(ISBLANK(A455),"",VLOOKUP(A455,DOI_URL!$B$1:$C$74,2,FALSE()))</f>
        <v/>
      </c>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c r="AA455" s="22"/>
      <c r="AB455" s="22"/>
      <c r="AC455" s="22"/>
      <c r="AD455" s="22"/>
      <c r="AE455" s="22"/>
    </row>
    <row r="456">
      <c r="A456" s="22"/>
      <c r="B456" s="22" t="str">
        <f>IF(ISBLANK(A456),"",VLOOKUP(A456,DOI_URL!$B$1:$C$74,2,FALSE()))</f>
        <v/>
      </c>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c r="AA456" s="22"/>
      <c r="AB456" s="22"/>
      <c r="AC456" s="22"/>
      <c r="AD456" s="22"/>
      <c r="AE456" s="22"/>
    </row>
    <row r="457">
      <c r="A457" s="22"/>
      <c r="B457" s="22" t="str">
        <f>IF(ISBLANK(A457),"",VLOOKUP(A457,DOI_URL!$B$1:$C$74,2,FALSE()))</f>
        <v/>
      </c>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c r="AA457" s="22"/>
      <c r="AB457" s="22"/>
      <c r="AC457" s="22"/>
      <c r="AD457" s="22"/>
      <c r="AE457" s="22"/>
    </row>
    <row r="458">
      <c r="A458" s="22"/>
      <c r="B458" s="22" t="str">
        <f>IF(ISBLANK(A458),"",VLOOKUP(A458,DOI_URL!$B$1:$C$74,2,FALSE()))</f>
        <v/>
      </c>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c r="AA458" s="22"/>
      <c r="AB458" s="22"/>
      <c r="AC458" s="22"/>
      <c r="AD458" s="22"/>
      <c r="AE458" s="22"/>
    </row>
    <row r="459">
      <c r="A459" s="22"/>
      <c r="B459" s="22" t="str">
        <f>IF(ISBLANK(A459),"",VLOOKUP(A459,DOI_URL!$B$1:$C$74,2,FALSE()))</f>
        <v/>
      </c>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c r="AA459" s="22"/>
      <c r="AB459" s="22"/>
      <c r="AC459" s="22"/>
      <c r="AD459" s="22"/>
      <c r="AE459" s="22"/>
    </row>
    <row r="460">
      <c r="A460" s="22"/>
      <c r="B460" s="22" t="str">
        <f>IF(ISBLANK(A460),"",VLOOKUP(A460,DOI_URL!$B$1:$C$74,2,FALSE()))</f>
        <v/>
      </c>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c r="AA460" s="22"/>
      <c r="AB460" s="22"/>
      <c r="AC460" s="22"/>
      <c r="AD460" s="22"/>
      <c r="AE460" s="22"/>
    </row>
    <row r="461">
      <c r="A461" s="22"/>
      <c r="B461" s="22" t="str">
        <f>IF(ISBLANK(A461),"",VLOOKUP(A461,DOI_URL!$B$1:$C$74,2,FALSE()))</f>
        <v/>
      </c>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c r="AA461" s="22"/>
      <c r="AB461" s="22"/>
      <c r="AC461" s="22"/>
      <c r="AD461" s="22"/>
      <c r="AE461" s="22"/>
    </row>
    <row r="462">
      <c r="A462" s="22"/>
      <c r="B462" s="22" t="str">
        <f>IF(ISBLANK(A462),"",VLOOKUP(A462,DOI_URL!$B$1:$C$74,2,FALSE()))</f>
        <v/>
      </c>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c r="AA462" s="22"/>
      <c r="AB462" s="22"/>
      <c r="AC462" s="22"/>
      <c r="AD462" s="22"/>
      <c r="AE462" s="22"/>
    </row>
    <row r="463">
      <c r="A463" s="22"/>
      <c r="B463" s="22" t="str">
        <f>IF(ISBLANK(A463),"",VLOOKUP(A463,DOI_URL!$B$1:$C$74,2,FALSE()))</f>
        <v/>
      </c>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c r="AA463" s="22"/>
      <c r="AB463" s="22"/>
      <c r="AC463" s="22"/>
      <c r="AD463" s="22"/>
      <c r="AE463" s="22"/>
    </row>
    <row r="464">
      <c r="A464" s="22"/>
      <c r="B464" s="22" t="str">
        <f>IF(ISBLANK(A464),"",VLOOKUP(A464,DOI_URL!$B$1:$C$74,2,FALSE()))</f>
        <v/>
      </c>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c r="AA464" s="22"/>
      <c r="AB464" s="22"/>
      <c r="AC464" s="22"/>
      <c r="AD464" s="22"/>
      <c r="AE464" s="22"/>
    </row>
    <row r="465">
      <c r="A465" s="22"/>
      <c r="B465" s="22" t="str">
        <f>IF(ISBLANK(A465),"",VLOOKUP(A465,DOI_URL!$B$1:$C$74,2,FALSE()))</f>
        <v/>
      </c>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c r="AA465" s="22"/>
      <c r="AB465" s="22"/>
      <c r="AC465" s="22"/>
      <c r="AD465" s="22"/>
      <c r="AE465" s="22"/>
    </row>
    <row r="466">
      <c r="A466" s="22"/>
      <c r="B466" s="22" t="str">
        <f>IF(ISBLANK(A466),"",VLOOKUP(A466,DOI_URL!$B$1:$C$74,2,FALSE()))</f>
        <v/>
      </c>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c r="AA466" s="22"/>
      <c r="AB466" s="22"/>
      <c r="AC466" s="22"/>
      <c r="AD466" s="22"/>
      <c r="AE466" s="22"/>
    </row>
    <row r="467">
      <c r="A467" s="22"/>
      <c r="B467" s="22" t="str">
        <f>IF(ISBLANK(A467),"",VLOOKUP(A467,DOI_URL!$B$1:$C$74,2,FALSE()))</f>
        <v/>
      </c>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c r="AA467" s="22"/>
      <c r="AB467" s="22"/>
      <c r="AC467" s="22"/>
      <c r="AD467" s="22"/>
      <c r="AE467" s="22"/>
    </row>
    <row r="468">
      <c r="A468" s="22"/>
      <c r="B468" s="22" t="str">
        <f>IF(ISBLANK(A468),"",VLOOKUP(A468,DOI_URL!$B$1:$C$74,2,FALSE()))</f>
        <v/>
      </c>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c r="AA468" s="22"/>
      <c r="AB468" s="22"/>
      <c r="AC468" s="22"/>
      <c r="AD468" s="22"/>
      <c r="AE468" s="22"/>
    </row>
    <row r="469">
      <c r="A469" s="22"/>
      <c r="B469" s="22" t="str">
        <f>IF(ISBLANK(A469),"",VLOOKUP(A469,DOI_URL!$B$1:$C$74,2,FALSE()))</f>
        <v/>
      </c>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c r="AA469" s="22"/>
      <c r="AB469" s="22"/>
      <c r="AC469" s="22"/>
      <c r="AD469" s="22"/>
      <c r="AE469" s="22"/>
    </row>
    <row r="470">
      <c r="A470" s="22"/>
      <c r="B470" s="22" t="str">
        <f>IF(ISBLANK(A470),"",VLOOKUP(A470,DOI_URL!$B$1:$C$74,2,FALSE()))</f>
        <v/>
      </c>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c r="AA470" s="22"/>
      <c r="AB470" s="22"/>
      <c r="AC470" s="22"/>
      <c r="AD470" s="22"/>
      <c r="AE470" s="22"/>
    </row>
    <row r="471">
      <c r="A471" s="22"/>
      <c r="B471" s="22" t="str">
        <f>IF(ISBLANK(A471),"",VLOOKUP(A471,DOI_URL!$B$1:$C$74,2,FALSE()))</f>
        <v/>
      </c>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c r="AA471" s="22"/>
      <c r="AB471" s="22"/>
      <c r="AC471" s="22"/>
      <c r="AD471" s="22"/>
      <c r="AE471" s="22"/>
    </row>
    <row r="472">
      <c r="A472" s="22"/>
      <c r="B472" s="22" t="str">
        <f>IF(ISBLANK(A472),"",VLOOKUP(A472,DOI_URL!$B$1:$C$74,2,FALSE()))</f>
        <v/>
      </c>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c r="AA472" s="22"/>
      <c r="AB472" s="22"/>
      <c r="AC472" s="22"/>
      <c r="AD472" s="22"/>
      <c r="AE472" s="22"/>
    </row>
    <row r="473">
      <c r="A473" s="22"/>
      <c r="B473" s="22" t="str">
        <f>IF(ISBLANK(A473),"",VLOOKUP(A473,DOI_URL!$B$1:$C$74,2,FALSE()))</f>
        <v/>
      </c>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c r="AA473" s="22"/>
      <c r="AB473" s="22"/>
      <c r="AC473" s="22"/>
      <c r="AD473" s="22"/>
      <c r="AE473" s="22"/>
    </row>
    <row r="474">
      <c r="A474" s="22"/>
      <c r="B474" s="22" t="str">
        <f>IF(ISBLANK(A474),"",VLOOKUP(A474,DOI_URL!$B$1:$C$74,2,FALSE()))</f>
        <v/>
      </c>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c r="AA474" s="22"/>
      <c r="AB474" s="22"/>
      <c r="AC474" s="22"/>
      <c r="AD474" s="22"/>
      <c r="AE474" s="22"/>
    </row>
    <row r="475">
      <c r="A475" s="22"/>
      <c r="B475" s="22" t="str">
        <f>IF(ISBLANK(A475),"",VLOOKUP(A475,DOI_URL!$B$1:$C$74,2,FALSE()))</f>
        <v/>
      </c>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row>
    <row r="476">
      <c r="A476" s="22"/>
      <c r="B476" s="22" t="str">
        <f>IF(ISBLANK(A476),"",VLOOKUP(A476,DOI_URL!$B$1:$C$74,2,FALSE()))</f>
        <v/>
      </c>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c r="AE476" s="22"/>
    </row>
    <row r="477">
      <c r="A477" s="22"/>
      <c r="B477" s="22" t="str">
        <f>IF(ISBLANK(A477),"",VLOOKUP(A477,DOI_URL!$B$1:$C$74,2,FALSE()))</f>
        <v/>
      </c>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c r="AA477" s="22"/>
      <c r="AB477" s="22"/>
      <c r="AC477" s="22"/>
      <c r="AD477" s="22"/>
      <c r="AE477" s="22"/>
    </row>
    <row r="478">
      <c r="A478" s="22"/>
      <c r="B478" s="22" t="str">
        <f>IF(ISBLANK(A478),"",VLOOKUP(A478,DOI_URL!$B$1:$C$74,2,FALSE()))</f>
        <v/>
      </c>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c r="AA478" s="22"/>
      <c r="AB478" s="22"/>
      <c r="AC478" s="22"/>
      <c r="AD478" s="22"/>
      <c r="AE478" s="22"/>
    </row>
    <row r="479">
      <c r="A479" s="22"/>
      <c r="B479" s="22" t="str">
        <f>IF(ISBLANK(A479),"",VLOOKUP(A479,DOI_URL!$B$1:$C$74,2,FALSE()))</f>
        <v/>
      </c>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c r="AA479" s="22"/>
      <c r="AB479" s="22"/>
      <c r="AC479" s="22"/>
      <c r="AD479" s="22"/>
      <c r="AE479" s="22"/>
    </row>
    <row r="480">
      <c r="A480" s="22"/>
      <c r="B480" s="22" t="str">
        <f>IF(ISBLANK(A480),"",VLOOKUP(A480,DOI_URL!$B$1:$C$74,2,FALSE()))</f>
        <v/>
      </c>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c r="AA480" s="22"/>
      <c r="AB480" s="22"/>
      <c r="AC480" s="22"/>
      <c r="AD480" s="22"/>
      <c r="AE480" s="22"/>
    </row>
    <row r="481">
      <c r="A481" s="22"/>
      <c r="B481" s="22" t="str">
        <f>IF(ISBLANK(A481),"",VLOOKUP(A481,DOI_URL!$B$1:$C$74,2,FALSE()))</f>
        <v/>
      </c>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c r="AA481" s="22"/>
      <c r="AB481" s="22"/>
      <c r="AC481" s="22"/>
      <c r="AD481" s="22"/>
      <c r="AE481" s="22"/>
    </row>
    <row r="482">
      <c r="A482" s="22"/>
      <c r="B482" s="22" t="str">
        <f>IF(ISBLANK(A482),"",VLOOKUP(A482,DOI_URL!$B$1:$C$74,2,FALSE()))</f>
        <v/>
      </c>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c r="AA482" s="22"/>
      <c r="AB482" s="22"/>
      <c r="AC482" s="22"/>
      <c r="AD482" s="22"/>
      <c r="AE482" s="22"/>
    </row>
    <row r="483">
      <c r="A483" s="22"/>
      <c r="B483" s="22" t="str">
        <f>IF(ISBLANK(A483),"",VLOOKUP(A483,DOI_URL!$B$1:$C$74,2,FALSE()))</f>
        <v/>
      </c>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c r="AA483" s="22"/>
      <c r="AB483" s="22"/>
      <c r="AC483" s="22"/>
      <c r="AD483" s="22"/>
      <c r="AE483" s="22"/>
    </row>
    <row r="484">
      <c r="A484" s="22"/>
      <c r="B484" s="22" t="str">
        <f>IF(ISBLANK(A484),"",VLOOKUP(A484,DOI_URL!$B$1:$C$74,2,FALSE()))</f>
        <v/>
      </c>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c r="AA484" s="22"/>
      <c r="AB484" s="22"/>
      <c r="AC484" s="22"/>
      <c r="AD484" s="22"/>
      <c r="AE484" s="22"/>
    </row>
    <row r="485">
      <c r="A485" s="22"/>
      <c r="B485" s="22" t="str">
        <f>IF(ISBLANK(A485),"",VLOOKUP(A485,DOI_URL!$B$1:$C$74,2,FALSE()))</f>
        <v/>
      </c>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c r="AA485" s="22"/>
      <c r="AB485" s="22"/>
      <c r="AC485" s="22"/>
      <c r="AD485" s="22"/>
      <c r="AE485" s="22"/>
    </row>
    <row r="486">
      <c r="A486" s="22"/>
      <c r="B486" s="22" t="str">
        <f>IF(ISBLANK(A486),"",VLOOKUP(A486,DOI_URL!$B$1:$C$74,2,FALSE()))</f>
        <v/>
      </c>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c r="AA486" s="22"/>
      <c r="AB486" s="22"/>
      <c r="AC486" s="22"/>
      <c r="AD486" s="22"/>
      <c r="AE486" s="22"/>
    </row>
    <row r="487">
      <c r="A487" s="22"/>
      <c r="B487" s="22" t="str">
        <f>IF(ISBLANK(A487),"",VLOOKUP(A487,DOI_URL!$B$1:$C$74,2,FALSE()))</f>
        <v/>
      </c>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c r="AA487" s="22"/>
      <c r="AB487" s="22"/>
      <c r="AC487" s="22"/>
      <c r="AD487" s="22"/>
      <c r="AE487" s="22"/>
    </row>
    <row r="488">
      <c r="A488" s="22"/>
      <c r="B488" s="22" t="str">
        <f>IF(ISBLANK(A488),"",VLOOKUP(A488,DOI_URL!$B$1:$C$74,2,FALSE()))</f>
        <v/>
      </c>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c r="AA488" s="22"/>
      <c r="AB488" s="22"/>
      <c r="AC488" s="22"/>
      <c r="AD488" s="22"/>
      <c r="AE488" s="22"/>
    </row>
    <row r="489">
      <c r="A489" s="22"/>
      <c r="B489" s="22" t="str">
        <f>IF(ISBLANK(A489),"",VLOOKUP(A489,DOI_URL!$B$1:$C$74,2,FALSE()))</f>
        <v/>
      </c>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c r="AA489" s="22"/>
      <c r="AB489" s="22"/>
      <c r="AC489" s="22"/>
      <c r="AD489" s="22"/>
      <c r="AE489" s="22"/>
    </row>
    <row r="490">
      <c r="A490" s="22"/>
      <c r="B490" s="22" t="str">
        <f>IF(ISBLANK(A490),"",VLOOKUP(A490,DOI_URL!$B$1:$C$74,2,FALSE()))</f>
        <v/>
      </c>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c r="AA490" s="22"/>
      <c r="AB490" s="22"/>
      <c r="AC490" s="22"/>
      <c r="AD490" s="22"/>
      <c r="AE490" s="22"/>
    </row>
    <row r="491">
      <c r="A491" s="22"/>
      <c r="B491" s="22" t="str">
        <f>IF(ISBLANK(A491),"",VLOOKUP(A491,DOI_URL!$B$1:$C$74,2,FALSE()))</f>
        <v/>
      </c>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c r="AA491" s="22"/>
      <c r="AB491" s="22"/>
      <c r="AC491" s="22"/>
      <c r="AD491" s="22"/>
      <c r="AE491" s="22"/>
    </row>
    <row r="492">
      <c r="A492" s="22"/>
      <c r="B492" s="22" t="str">
        <f>IF(ISBLANK(A492),"",VLOOKUP(A492,DOI_URL!$B$1:$C$74,2,FALSE()))</f>
        <v/>
      </c>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c r="AA492" s="22"/>
      <c r="AB492" s="22"/>
      <c r="AC492" s="22"/>
      <c r="AD492" s="22"/>
      <c r="AE492" s="22"/>
    </row>
    <row r="493">
      <c r="A493" s="22"/>
      <c r="B493" s="22" t="str">
        <f>IF(ISBLANK(A493),"",VLOOKUP(A493,DOI_URL!$B$1:$C$74,2,FALSE()))</f>
        <v/>
      </c>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c r="AA493" s="22"/>
      <c r="AB493" s="22"/>
      <c r="AC493" s="22"/>
      <c r="AD493" s="22"/>
      <c r="AE493" s="22"/>
    </row>
    <row r="494">
      <c r="A494" s="22"/>
      <c r="B494" s="22" t="str">
        <f>IF(ISBLANK(A494),"",VLOOKUP(A494,DOI_URL!$B$1:$C$74,2,FALSE()))</f>
        <v/>
      </c>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c r="AA494" s="22"/>
      <c r="AB494" s="22"/>
      <c r="AC494" s="22"/>
      <c r="AD494" s="22"/>
      <c r="AE494" s="22"/>
    </row>
    <row r="495">
      <c r="A495" s="22"/>
      <c r="B495" s="22" t="str">
        <f>IF(ISBLANK(A495),"",VLOOKUP(A495,DOI_URL!$B$1:$C$74,2,FALSE()))</f>
        <v/>
      </c>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c r="AA495" s="22"/>
      <c r="AB495" s="22"/>
      <c r="AC495" s="22"/>
      <c r="AD495" s="22"/>
      <c r="AE495" s="22"/>
    </row>
    <row r="496">
      <c r="A496" s="22"/>
      <c r="B496" s="22" t="str">
        <f>IF(ISBLANK(A496),"",VLOOKUP(A496,DOI_URL!$B$1:$C$74,2,FALSE()))</f>
        <v/>
      </c>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c r="AA496" s="22"/>
      <c r="AB496" s="22"/>
      <c r="AC496" s="22"/>
      <c r="AD496" s="22"/>
      <c r="AE496" s="22"/>
    </row>
    <row r="497">
      <c r="A497" s="22"/>
      <c r="B497" s="22" t="str">
        <f>IF(ISBLANK(A497),"",VLOOKUP(A497,DOI_URL!$B$1:$C$74,2,FALSE()))</f>
        <v/>
      </c>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c r="AA497" s="22"/>
      <c r="AB497" s="22"/>
      <c r="AC497" s="22"/>
      <c r="AD497" s="22"/>
      <c r="AE497" s="22"/>
    </row>
    <row r="498">
      <c r="A498" s="22"/>
      <c r="B498" s="22" t="str">
        <f>IF(ISBLANK(A498),"",VLOOKUP(A498,DOI_URL!$B$1:$C$74,2,FALSE()))</f>
        <v/>
      </c>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c r="AA498" s="22"/>
      <c r="AB498" s="22"/>
      <c r="AC498" s="22"/>
      <c r="AD498" s="22"/>
      <c r="AE498" s="22"/>
    </row>
    <row r="499">
      <c r="A499" s="22"/>
      <c r="B499" s="22" t="str">
        <f>IF(ISBLANK(A499),"",VLOOKUP(A499,DOI_URL!$B$1:$C$74,2,FALSE()))</f>
        <v/>
      </c>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c r="AA499" s="22"/>
      <c r="AB499" s="22"/>
      <c r="AC499" s="22"/>
      <c r="AD499" s="22"/>
      <c r="AE499" s="22"/>
    </row>
    <row r="500">
      <c r="A500" s="22"/>
      <c r="B500" s="22" t="str">
        <f>IF(ISBLANK(A500),"",VLOOKUP(A500,DOI_URL!$B$1:$C$74,2,FALSE()))</f>
        <v/>
      </c>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row>
    <row r="501">
      <c r="A501" s="22"/>
      <c r="B501" s="22" t="str">
        <f>IF(ISBLANK(A501),"",VLOOKUP(A501,DOI_URL!$B$1:$C$74,2,FALSE()))</f>
        <v/>
      </c>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c r="AA501" s="22"/>
      <c r="AB501" s="22"/>
      <c r="AC501" s="22"/>
      <c r="AD501" s="22"/>
      <c r="AE501" s="22"/>
    </row>
    <row r="502">
      <c r="A502" s="22"/>
      <c r="B502" s="22" t="str">
        <f>IF(ISBLANK(A502),"",VLOOKUP(A502,DOI_URL!$B$1:$C$74,2,FALSE()))</f>
        <v/>
      </c>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c r="AA502" s="22"/>
      <c r="AB502" s="22"/>
      <c r="AC502" s="22"/>
      <c r="AD502" s="22"/>
      <c r="AE502" s="22"/>
    </row>
    <row r="503">
      <c r="A503" s="22"/>
      <c r="B503" s="22" t="str">
        <f>IF(ISBLANK(A503),"",VLOOKUP(A503,DOI_URL!$B$1:$C$74,2,FALSE()))</f>
        <v/>
      </c>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c r="AA503" s="22"/>
      <c r="AB503" s="22"/>
      <c r="AC503" s="22"/>
      <c r="AD503" s="22"/>
      <c r="AE503" s="22"/>
    </row>
    <row r="504">
      <c r="A504" s="22"/>
      <c r="B504" s="22" t="str">
        <f>IF(ISBLANK(A504),"",VLOOKUP(A504,DOI_URL!$B$1:$C$74,2,FALSE()))</f>
        <v/>
      </c>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c r="AA504" s="22"/>
      <c r="AB504" s="22"/>
      <c r="AC504" s="22"/>
      <c r="AD504" s="22"/>
      <c r="AE504" s="22"/>
    </row>
    <row r="505">
      <c r="A505" s="22"/>
      <c r="B505" s="22" t="str">
        <f>IF(ISBLANK(A505),"",VLOOKUP(A505,DOI_URL!$B$1:$C$74,2,FALSE()))</f>
        <v/>
      </c>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c r="AA505" s="22"/>
      <c r="AB505" s="22"/>
      <c r="AC505" s="22"/>
      <c r="AD505" s="22"/>
      <c r="AE505" s="22"/>
    </row>
    <row r="506">
      <c r="A506" s="22"/>
      <c r="B506" s="22" t="str">
        <f>IF(ISBLANK(A506),"",VLOOKUP(A506,DOI_URL!$B$1:$C$74,2,FALSE()))</f>
        <v/>
      </c>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c r="AA506" s="22"/>
      <c r="AB506" s="22"/>
      <c r="AC506" s="22"/>
      <c r="AD506" s="22"/>
      <c r="AE506" s="22"/>
    </row>
    <row r="507">
      <c r="A507" s="22"/>
      <c r="B507" s="22" t="str">
        <f>IF(ISBLANK(A507),"",VLOOKUP(A507,DOI_URL!$B$1:$C$74,2,FALSE()))</f>
        <v/>
      </c>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c r="AA507" s="22"/>
      <c r="AB507" s="22"/>
      <c r="AC507" s="22"/>
      <c r="AD507" s="22"/>
      <c r="AE507" s="22"/>
    </row>
    <row r="508">
      <c r="A508" s="22"/>
      <c r="B508" s="22" t="str">
        <f>IF(ISBLANK(A508),"",VLOOKUP(A508,DOI_URL!$B$1:$C$74,2,FALSE()))</f>
        <v/>
      </c>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c r="AA508" s="22"/>
      <c r="AB508" s="22"/>
      <c r="AC508" s="22"/>
      <c r="AD508" s="22"/>
      <c r="AE508" s="22"/>
    </row>
    <row r="509">
      <c r="A509" s="22"/>
      <c r="B509" s="22" t="str">
        <f>IF(ISBLANK(A509),"",VLOOKUP(A509,DOI_URL!$B$1:$C$74,2,FALSE()))</f>
        <v/>
      </c>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c r="AA509" s="22"/>
      <c r="AB509" s="22"/>
      <c r="AC509" s="22"/>
      <c r="AD509" s="22"/>
      <c r="AE509" s="22"/>
    </row>
    <row r="510">
      <c r="A510" s="22"/>
      <c r="B510" s="22" t="str">
        <f>IF(ISBLANK(A510),"",VLOOKUP(A510,DOI_URL!$B$1:$C$74,2,FALSE()))</f>
        <v/>
      </c>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c r="AA510" s="22"/>
      <c r="AB510" s="22"/>
      <c r="AC510" s="22"/>
      <c r="AD510" s="22"/>
      <c r="AE510" s="22"/>
    </row>
    <row r="511">
      <c r="A511" s="22"/>
      <c r="B511" s="22" t="str">
        <f>IF(ISBLANK(A511),"",VLOOKUP(A511,DOI_URL!$B$1:$C$74,2,FALSE()))</f>
        <v/>
      </c>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c r="AA511" s="22"/>
      <c r="AB511" s="22"/>
      <c r="AC511" s="22"/>
      <c r="AD511" s="22"/>
      <c r="AE511" s="22"/>
    </row>
    <row r="512">
      <c r="A512" s="22"/>
      <c r="B512" s="22" t="str">
        <f>IF(ISBLANK(A512),"",VLOOKUP(A512,DOI_URL!$B$1:$C$74,2,FALSE()))</f>
        <v/>
      </c>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c r="AA512" s="22"/>
      <c r="AB512" s="22"/>
      <c r="AC512" s="22"/>
      <c r="AD512" s="22"/>
      <c r="AE512" s="22"/>
    </row>
    <row r="513">
      <c r="A513" s="22"/>
      <c r="B513" s="22" t="str">
        <f>IF(ISBLANK(A513),"",VLOOKUP(A513,DOI_URL!$B$1:$C$74,2,FALSE()))</f>
        <v/>
      </c>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c r="AA513" s="22"/>
      <c r="AB513" s="22"/>
      <c r="AC513" s="22"/>
      <c r="AD513" s="22"/>
      <c r="AE513" s="22"/>
    </row>
    <row r="514">
      <c r="A514" s="22"/>
      <c r="B514" s="22" t="str">
        <f>IF(ISBLANK(A514),"",VLOOKUP(A514,DOI_URL!$B$1:$C$74,2,FALSE()))</f>
        <v/>
      </c>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c r="AA514" s="22"/>
      <c r="AB514" s="22"/>
      <c r="AC514" s="22"/>
      <c r="AD514" s="22"/>
      <c r="AE514" s="22"/>
    </row>
    <row r="515">
      <c r="A515" s="22"/>
      <c r="B515" s="22" t="str">
        <f>IF(ISBLANK(A515),"",VLOOKUP(A515,DOI_URL!$B$1:$C$74,2,FALSE()))</f>
        <v/>
      </c>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c r="AA515" s="22"/>
      <c r="AB515" s="22"/>
      <c r="AC515" s="22"/>
      <c r="AD515" s="22"/>
      <c r="AE515" s="22"/>
    </row>
    <row r="516">
      <c r="A516" s="22"/>
      <c r="B516" s="22" t="str">
        <f>IF(ISBLANK(A516),"",VLOOKUP(A516,DOI_URL!$B$1:$C$74,2,FALSE()))</f>
        <v/>
      </c>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c r="AA516" s="22"/>
      <c r="AB516" s="22"/>
      <c r="AC516" s="22"/>
      <c r="AD516" s="22"/>
      <c r="AE516" s="22"/>
    </row>
    <row r="517">
      <c r="A517" s="22"/>
      <c r="B517" s="22" t="str">
        <f>IF(ISBLANK(A517),"",VLOOKUP(A517,DOI_URL!$B$1:$C$74,2,FALSE()))</f>
        <v/>
      </c>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c r="AA517" s="22"/>
      <c r="AB517" s="22"/>
      <c r="AC517" s="22"/>
      <c r="AD517" s="22"/>
      <c r="AE517" s="22"/>
    </row>
    <row r="518">
      <c r="A518" s="22"/>
      <c r="B518" s="22" t="str">
        <f>IF(ISBLANK(A518),"",VLOOKUP(A518,DOI_URL!$B$1:$C$74,2,FALSE()))</f>
        <v/>
      </c>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c r="AA518" s="22"/>
      <c r="AB518" s="22"/>
      <c r="AC518" s="22"/>
      <c r="AD518" s="22"/>
      <c r="AE518" s="22"/>
    </row>
    <row r="519">
      <c r="A519" s="22"/>
      <c r="B519" s="22" t="str">
        <f>IF(ISBLANK(A519),"",VLOOKUP(A519,DOI_URL!$B$1:$C$74,2,FALSE()))</f>
        <v/>
      </c>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c r="AA519" s="22"/>
      <c r="AB519" s="22"/>
      <c r="AC519" s="22"/>
      <c r="AD519" s="22"/>
      <c r="AE519" s="22"/>
    </row>
    <row r="520">
      <c r="A520" s="22"/>
      <c r="B520" s="22" t="str">
        <f>IF(ISBLANK(A520),"",VLOOKUP(A520,DOI_URL!$B$1:$C$74,2,FALSE()))</f>
        <v/>
      </c>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c r="AA520" s="22"/>
      <c r="AB520" s="22"/>
      <c r="AC520" s="22"/>
      <c r="AD520" s="22"/>
      <c r="AE520" s="22"/>
    </row>
    <row r="521">
      <c r="A521" s="22"/>
      <c r="B521" s="22" t="str">
        <f>IF(ISBLANK(A521),"",VLOOKUP(A521,DOI_URL!$B$1:$C$74,2,FALSE()))</f>
        <v/>
      </c>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c r="AA521" s="22"/>
      <c r="AB521" s="22"/>
      <c r="AC521" s="22"/>
      <c r="AD521" s="22"/>
      <c r="AE521" s="22"/>
    </row>
    <row r="522">
      <c r="A522" s="22"/>
      <c r="B522" s="22" t="str">
        <f>IF(ISBLANK(A522),"",VLOOKUP(A522,DOI_URL!$B$1:$C$74,2,FALSE()))</f>
        <v/>
      </c>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c r="AA522" s="22"/>
      <c r="AB522" s="22"/>
      <c r="AC522" s="22"/>
      <c r="AD522" s="22"/>
      <c r="AE522" s="22"/>
    </row>
    <row r="523">
      <c r="A523" s="22"/>
      <c r="B523" s="22" t="str">
        <f>IF(ISBLANK(A523),"",VLOOKUP(A523,DOI_URL!$B$1:$C$74,2,FALSE()))</f>
        <v/>
      </c>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c r="AA523" s="22"/>
      <c r="AB523" s="22"/>
      <c r="AC523" s="22"/>
      <c r="AD523" s="22"/>
      <c r="AE523" s="22"/>
    </row>
    <row r="524">
      <c r="A524" s="22"/>
      <c r="B524" s="22" t="str">
        <f>IF(ISBLANK(A524),"",VLOOKUP(A524,DOI_URL!$B$1:$C$74,2,FALSE()))</f>
        <v/>
      </c>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c r="AA524" s="22"/>
      <c r="AB524" s="22"/>
      <c r="AC524" s="22"/>
      <c r="AD524" s="22"/>
      <c r="AE524" s="22"/>
    </row>
    <row r="525">
      <c r="A525" s="22"/>
      <c r="B525" s="22" t="str">
        <f>IF(ISBLANK(A525),"",VLOOKUP(A525,DOI_URL!$B$1:$C$74,2,FALSE()))</f>
        <v/>
      </c>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row>
    <row r="526">
      <c r="A526" s="22"/>
      <c r="B526" s="22" t="str">
        <f>IF(ISBLANK(A526),"",VLOOKUP(A526,DOI_URL!$B$1:$C$74,2,FALSE()))</f>
        <v/>
      </c>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c r="AA526" s="22"/>
      <c r="AB526" s="22"/>
      <c r="AC526" s="22"/>
      <c r="AD526" s="22"/>
      <c r="AE526" s="22"/>
    </row>
    <row r="527">
      <c r="A527" s="22"/>
      <c r="B527" s="22" t="str">
        <f>IF(ISBLANK(A527),"",VLOOKUP(A527,DOI_URL!$B$1:$C$74,2,FALSE()))</f>
        <v/>
      </c>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c r="AA527" s="22"/>
      <c r="AB527" s="22"/>
      <c r="AC527" s="22"/>
      <c r="AD527" s="22"/>
      <c r="AE527" s="22"/>
    </row>
    <row r="528">
      <c r="A528" s="22"/>
      <c r="B528" s="22" t="str">
        <f>IF(ISBLANK(A528),"",VLOOKUP(A528,DOI_URL!$B$1:$C$74,2,FALSE()))</f>
        <v/>
      </c>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c r="AA528" s="22"/>
      <c r="AB528" s="22"/>
      <c r="AC528" s="22"/>
      <c r="AD528" s="22"/>
      <c r="AE528" s="22"/>
    </row>
    <row r="529">
      <c r="A529" s="22"/>
      <c r="B529" s="22" t="str">
        <f>IF(ISBLANK(A529),"",VLOOKUP(A529,DOI_URL!$B$1:$C$74,2,FALSE()))</f>
        <v/>
      </c>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c r="AA529" s="22"/>
      <c r="AB529" s="22"/>
      <c r="AC529" s="22"/>
      <c r="AD529" s="22"/>
      <c r="AE529" s="22"/>
    </row>
    <row r="530">
      <c r="A530" s="22"/>
      <c r="B530" s="22" t="str">
        <f>IF(ISBLANK(A530),"",VLOOKUP(A530,DOI_URL!$B$1:$C$74,2,FALSE()))</f>
        <v/>
      </c>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c r="AA530" s="22"/>
      <c r="AB530" s="22"/>
      <c r="AC530" s="22"/>
      <c r="AD530" s="22"/>
      <c r="AE530" s="22"/>
    </row>
    <row r="531">
      <c r="A531" s="22"/>
      <c r="B531" s="22" t="str">
        <f>IF(ISBLANK(A531),"",VLOOKUP(A531,DOI_URL!$B$1:$C$74,2,FALSE()))</f>
        <v/>
      </c>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c r="AA531" s="22"/>
      <c r="AB531" s="22"/>
      <c r="AC531" s="22"/>
      <c r="AD531" s="22"/>
      <c r="AE531" s="22"/>
    </row>
    <row r="532">
      <c r="A532" s="22"/>
      <c r="B532" s="22" t="str">
        <f>IF(ISBLANK(A532),"",VLOOKUP(A532,DOI_URL!$B$1:$C$74,2,FALSE()))</f>
        <v/>
      </c>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c r="AA532" s="22"/>
      <c r="AB532" s="22"/>
      <c r="AC532" s="22"/>
      <c r="AD532" s="22"/>
      <c r="AE532" s="22"/>
    </row>
    <row r="533">
      <c r="A533" s="22"/>
      <c r="B533" s="22" t="str">
        <f>IF(ISBLANK(A533),"",VLOOKUP(A533,DOI_URL!$B$1:$C$74,2,FALSE()))</f>
        <v/>
      </c>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c r="AA533" s="22"/>
      <c r="AB533" s="22"/>
      <c r="AC533" s="22"/>
      <c r="AD533" s="22"/>
      <c r="AE533" s="22"/>
    </row>
    <row r="534">
      <c r="A534" s="22"/>
      <c r="B534" s="22" t="str">
        <f>IF(ISBLANK(A534),"",VLOOKUP(A534,DOI_URL!$B$1:$C$74,2,FALSE()))</f>
        <v/>
      </c>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c r="AA534" s="22"/>
      <c r="AB534" s="22"/>
      <c r="AC534" s="22"/>
      <c r="AD534" s="22"/>
      <c r="AE534" s="22"/>
    </row>
    <row r="535">
      <c r="A535" s="22"/>
      <c r="B535" s="22" t="str">
        <f>IF(ISBLANK(A535),"",VLOOKUP(A535,DOI_URL!$B$1:$C$74,2,FALSE()))</f>
        <v/>
      </c>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c r="AA535" s="22"/>
      <c r="AB535" s="22"/>
      <c r="AC535" s="22"/>
      <c r="AD535" s="22"/>
      <c r="AE535" s="22"/>
    </row>
    <row r="536">
      <c r="A536" s="22"/>
      <c r="B536" s="22" t="str">
        <f>IF(ISBLANK(A536),"",VLOOKUP(A536,DOI_URL!$B$1:$C$74,2,FALSE()))</f>
        <v/>
      </c>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c r="AA536" s="22"/>
      <c r="AB536" s="22"/>
      <c r="AC536" s="22"/>
      <c r="AD536" s="22"/>
      <c r="AE536" s="22"/>
    </row>
    <row r="537">
      <c r="A537" s="22"/>
      <c r="B537" s="22" t="str">
        <f>IF(ISBLANK(A537),"",VLOOKUP(A537,DOI_URL!$B$1:$C$74,2,FALSE()))</f>
        <v/>
      </c>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c r="AA537" s="22"/>
      <c r="AB537" s="22"/>
      <c r="AC537" s="22"/>
      <c r="AD537" s="22"/>
      <c r="AE537" s="22"/>
    </row>
    <row r="538">
      <c r="A538" s="22"/>
      <c r="B538" s="22" t="str">
        <f>IF(ISBLANK(A538),"",VLOOKUP(A538,DOI_URL!$B$1:$C$74,2,FALSE()))</f>
        <v/>
      </c>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c r="AA538" s="22"/>
      <c r="AB538" s="22"/>
      <c r="AC538" s="22"/>
      <c r="AD538" s="22"/>
      <c r="AE538" s="22"/>
    </row>
    <row r="539">
      <c r="A539" s="22"/>
      <c r="B539" s="22" t="str">
        <f>IF(ISBLANK(A539),"",VLOOKUP(A539,DOI_URL!$B$1:$C$74,2,FALSE()))</f>
        <v/>
      </c>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c r="AA539" s="22"/>
      <c r="AB539" s="22"/>
      <c r="AC539" s="22"/>
      <c r="AD539" s="22"/>
      <c r="AE539" s="22"/>
    </row>
    <row r="540">
      <c r="A540" s="22"/>
      <c r="B540" s="22" t="str">
        <f>IF(ISBLANK(A540),"",VLOOKUP(A540,DOI_URL!$B$1:$C$74,2,FALSE()))</f>
        <v/>
      </c>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c r="AA540" s="22"/>
      <c r="AB540" s="22"/>
      <c r="AC540" s="22"/>
      <c r="AD540" s="22"/>
      <c r="AE540" s="22"/>
    </row>
    <row r="541">
      <c r="A541" s="22"/>
      <c r="B541" s="22" t="str">
        <f>IF(ISBLANK(A541),"",VLOOKUP(A541,DOI_URL!$B$1:$C$74,2,FALSE()))</f>
        <v/>
      </c>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c r="AA541" s="22"/>
      <c r="AB541" s="22"/>
      <c r="AC541" s="22"/>
      <c r="AD541" s="22"/>
      <c r="AE541" s="22"/>
    </row>
    <row r="542">
      <c r="A542" s="22"/>
      <c r="B542" s="22" t="str">
        <f>IF(ISBLANK(A542),"",VLOOKUP(A542,DOI_URL!$B$1:$C$74,2,FALSE()))</f>
        <v/>
      </c>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c r="AA542" s="22"/>
      <c r="AB542" s="22"/>
      <c r="AC542" s="22"/>
      <c r="AD542" s="22"/>
      <c r="AE542" s="22"/>
    </row>
    <row r="543">
      <c r="A543" s="22"/>
      <c r="B543" s="22" t="str">
        <f>IF(ISBLANK(A543),"",VLOOKUP(A543,DOI_URL!$B$1:$C$74,2,FALSE()))</f>
        <v/>
      </c>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c r="AA543" s="22"/>
      <c r="AB543" s="22"/>
      <c r="AC543" s="22"/>
      <c r="AD543" s="22"/>
      <c r="AE543" s="22"/>
    </row>
    <row r="544">
      <c r="A544" s="22"/>
      <c r="B544" s="22" t="str">
        <f>IF(ISBLANK(A544),"",VLOOKUP(A544,DOI_URL!$B$1:$C$74,2,FALSE()))</f>
        <v/>
      </c>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c r="AA544" s="22"/>
      <c r="AB544" s="22"/>
      <c r="AC544" s="22"/>
      <c r="AD544" s="22"/>
      <c r="AE544" s="22"/>
    </row>
    <row r="545">
      <c r="A545" s="22"/>
      <c r="B545" s="22" t="str">
        <f>IF(ISBLANK(A545),"",VLOOKUP(A545,DOI_URL!$B$1:$C$74,2,FALSE()))</f>
        <v/>
      </c>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c r="AA545" s="22"/>
      <c r="AB545" s="22"/>
      <c r="AC545" s="22"/>
      <c r="AD545" s="22"/>
      <c r="AE545" s="22"/>
    </row>
    <row r="546">
      <c r="A546" s="22"/>
      <c r="B546" s="22" t="str">
        <f>IF(ISBLANK(A546),"",VLOOKUP(A546,DOI_URL!$B$1:$C$74,2,FALSE()))</f>
        <v/>
      </c>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c r="AA546" s="22"/>
      <c r="AB546" s="22"/>
      <c r="AC546" s="22"/>
      <c r="AD546" s="22"/>
      <c r="AE546" s="22"/>
    </row>
    <row r="547">
      <c r="A547" s="22"/>
      <c r="B547" s="22" t="str">
        <f>IF(ISBLANK(A547),"",VLOOKUP(A547,DOI_URL!$B$1:$C$74,2,FALSE()))</f>
        <v/>
      </c>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c r="AA547" s="22"/>
      <c r="AB547" s="22"/>
      <c r="AC547" s="22"/>
      <c r="AD547" s="22"/>
      <c r="AE547" s="22"/>
    </row>
    <row r="548">
      <c r="A548" s="22"/>
      <c r="B548" s="22" t="str">
        <f>IF(ISBLANK(A548),"",VLOOKUP(A548,DOI_URL!$B$1:$C$74,2,FALSE()))</f>
        <v/>
      </c>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c r="AA548" s="22"/>
      <c r="AB548" s="22"/>
      <c r="AC548" s="22"/>
      <c r="AD548" s="22"/>
      <c r="AE548" s="22"/>
    </row>
    <row r="549">
      <c r="A549" s="22"/>
      <c r="B549" s="22" t="str">
        <f>IF(ISBLANK(A549),"",VLOOKUP(A549,DOI_URL!$B$1:$C$74,2,FALSE()))</f>
        <v/>
      </c>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c r="AA549" s="22"/>
      <c r="AB549" s="22"/>
      <c r="AC549" s="22"/>
      <c r="AD549" s="22"/>
      <c r="AE549" s="22"/>
    </row>
    <row r="550">
      <c r="A550" s="22"/>
      <c r="B550" s="22" t="str">
        <f>IF(ISBLANK(A550),"",VLOOKUP(A550,DOI_URL!$B$1:$C$74,2,FALSE()))</f>
        <v/>
      </c>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row>
    <row r="551">
      <c r="A551" s="22"/>
      <c r="B551" s="22" t="str">
        <f>IF(ISBLANK(A551),"",VLOOKUP(A551,DOI_URL!$B$1:$C$74,2,FALSE()))</f>
        <v/>
      </c>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c r="AA551" s="22"/>
      <c r="AB551" s="22"/>
      <c r="AC551" s="22"/>
      <c r="AD551" s="22"/>
      <c r="AE551" s="22"/>
    </row>
    <row r="552">
      <c r="A552" s="22"/>
      <c r="B552" s="22" t="str">
        <f>IF(ISBLANK(A552),"",VLOOKUP(A552,DOI_URL!$B$1:$C$74,2,FALSE()))</f>
        <v/>
      </c>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c r="AA552" s="22"/>
      <c r="AB552" s="22"/>
      <c r="AC552" s="22"/>
      <c r="AD552" s="22"/>
      <c r="AE552" s="22"/>
    </row>
    <row r="553">
      <c r="A553" s="22"/>
      <c r="B553" s="22" t="str">
        <f>IF(ISBLANK(A553),"",VLOOKUP(A553,DOI_URL!$B$1:$C$74,2,FALSE()))</f>
        <v/>
      </c>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c r="AA553" s="22"/>
      <c r="AB553" s="22"/>
      <c r="AC553" s="22"/>
      <c r="AD553" s="22"/>
      <c r="AE553" s="22"/>
    </row>
    <row r="554">
      <c r="A554" s="22"/>
      <c r="B554" s="22" t="str">
        <f>IF(ISBLANK(A554),"",VLOOKUP(A554,DOI_URL!$B$1:$C$74,2,FALSE()))</f>
        <v/>
      </c>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c r="AA554" s="22"/>
      <c r="AB554" s="22"/>
      <c r="AC554" s="22"/>
      <c r="AD554" s="22"/>
      <c r="AE554" s="22"/>
    </row>
    <row r="555">
      <c r="A555" s="22"/>
      <c r="B555" s="22" t="str">
        <f>IF(ISBLANK(A555),"",VLOOKUP(A555,DOI_URL!$B$1:$C$74,2,FALSE()))</f>
        <v/>
      </c>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c r="AA555" s="22"/>
      <c r="AB555" s="22"/>
      <c r="AC555" s="22"/>
      <c r="AD555" s="22"/>
      <c r="AE555" s="22"/>
    </row>
    <row r="556">
      <c r="A556" s="22"/>
      <c r="B556" s="22" t="str">
        <f>IF(ISBLANK(A556),"",VLOOKUP(A556,DOI_URL!$B$1:$C$74,2,FALSE()))</f>
        <v/>
      </c>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c r="AA556" s="22"/>
      <c r="AB556" s="22"/>
      <c r="AC556" s="22"/>
      <c r="AD556" s="22"/>
      <c r="AE556" s="22"/>
    </row>
    <row r="557">
      <c r="A557" s="22"/>
      <c r="B557" s="22" t="str">
        <f>IF(ISBLANK(A557),"",VLOOKUP(A557,DOI_URL!$B$1:$C$74,2,FALSE()))</f>
        <v/>
      </c>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c r="AA557" s="22"/>
      <c r="AB557" s="22"/>
      <c r="AC557" s="22"/>
      <c r="AD557" s="22"/>
      <c r="AE557" s="22"/>
    </row>
    <row r="558">
      <c r="A558" s="22"/>
      <c r="B558" s="22" t="str">
        <f>IF(ISBLANK(A558),"",VLOOKUP(A558,DOI_URL!$B$1:$C$74,2,FALSE()))</f>
        <v/>
      </c>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c r="AA558" s="22"/>
      <c r="AB558" s="22"/>
      <c r="AC558" s="22"/>
      <c r="AD558" s="22"/>
      <c r="AE558" s="22"/>
    </row>
    <row r="559">
      <c r="A559" s="22"/>
      <c r="B559" s="22" t="str">
        <f>IF(ISBLANK(A559),"",VLOOKUP(A559,DOI_URL!$B$1:$C$74,2,FALSE()))</f>
        <v/>
      </c>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c r="AA559" s="22"/>
      <c r="AB559" s="22"/>
      <c r="AC559" s="22"/>
      <c r="AD559" s="22"/>
      <c r="AE559" s="22"/>
    </row>
    <row r="560">
      <c r="A560" s="22"/>
      <c r="B560" s="22" t="str">
        <f>IF(ISBLANK(A560),"",VLOOKUP(A560,DOI_URL!$B$1:$C$74,2,FALSE()))</f>
        <v/>
      </c>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c r="AA560" s="22"/>
      <c r="AB560" s="22"/>
      <c r="AC560" s="22"/>
      <c r="AD560" s="22"/>
      <c r="AE560" s="22"/>
    </row>
    <row r="561">
      <c r="A561" s="22"/>
      <c r="B561" s="22" t="str">
        <f>IF(ISBLANK(A561),"",VLOOKUP(A561,DOI_URL!$B$1:$C$74,2,FALSE()))</f>
        <v/>
      </c>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c r="AA561" s="22"/>
      <c r="AB561" s="22"/>
      <c r="AC561" s="22"/>
      <c r="AD561" s="22"/>
      <c r="AE561" s="22"/>
    </row>
    <row r="562">
      <c r="A562" s="22"/>
      <c r="B562" s="22" t="str">
        <f>IF(ISBLANK(A562),"",VLOOKUP(A562,DOI_URL!$B$1:$C$74,2,FALSE()))</f>
        <v/>
      </c>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c r="AA562" s="22"/>
      <c r="AB562" s="22"/>
      <c r="AC562" s="22"/>
      <c r="AD562" s="22"/>
      <c r="AE562" s="22"/>
    </row>
    <row r="563">
      <c r="A563" s="22"/>
      <c r="B563" s="22" t="str">
        <f>IF(ISBLANK(A563),"",VLOOKUP(A563,DOI_URL!$B$1:$C$74,2,FALSE()))</f>
        <v/>
      </c>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c r="AA563" s="22"/>
      <c r="AB563" s="22"/>
      <c r="AC563" s="22"/>
      <c r="AD563" s="22"/>
      <c r="AE563" s="22"/>
    </row>
    <row r="564">
      <c r="A564" s="22"/>
      <c r="B564" s="22" t="str">
        <f>IF(ISBLANK(A564),"",VLOOKUP(A564,DOI_URL!$B$1:$C$74,2,FALSE()))</f>
        <v/>
      </c>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c r="AA564" s="22"/>
      <c r="AB564" s="22"/>
      <c r="AC564" s="22"/>
      <c r="AD564" s="22"/>
      <c r="AE564" s="22"/>
    </row>
    <row r="565">
      <c r="A565" s="22"/>
      <c r="B565" s="22" t="str">
        <f>IF(ISBLANK(A565),"",VLOOKUP(A565,DOI_URL!$B$1:$C$74,2,FALSE()))</f>
        <v/>
      </c>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c r="AA565" s="22"/>
      <c r="AB565" s="22"/>
      <c r="AC565" s="22"/>
      <c r="AD565" s="22"/>
      <c r="AE565" s="22"/>
    </row>
    <row r="566">
      <c r="A566" s="22"/>
      <c r="B566" s="22" t="str">
        <f>IF(ISBLANK(A566),"",VLOOKUP(A566,DOI_URL!$B$1:$C$74,2,FALSE()))</f>
        <v/>
      </c>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c r="AA566" s="22"/>
      <c r="AB566" s="22"/>
      <c r="AC566" s="22"/>
      <c r="AD566" s="22"/>
      <c r="AE566" s="22"/>
    </row>
    <row r="567">
      <c r="A567" s="22"/>
      <c r="B567" s="22" t="str">
        <f>IF(ISBLANK(A567),"",VLOOKUP(A567,DOI_URL!$B$1:$C$74,2,FALSE()))</f>
        <v/>
      </c>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c r="AA567" s="22"/>
      <c r="AB567" s="22"/>
      <c r="AC567" s="22"/>
      <c r="AD567" s="22"/>
      <c r="AE567" s="22"/>
    </row>
    <row r="568">
      <c r="A568" s="22"/>
      <c r="B568" s="22" t="str">
        <f>IF(ISBLANK(A568),"",VLOOKUP(A568,DOI_URL!$B$1:$C$74,2,FALSE()))</f>
        <v/>
      </c>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c r="AA568" s="22"/>
      <c r="AB568" s="22"/>
      <c r="AC568" s="22"/>
      <c r="AD568" s="22"/>
      <c r="AE568" s="22"/>
    </row>
    <row r="569">
      <c r="A569" s="22"/>
      <c r="B569" s="22" t="str">
        <f>IF(ISBLANK(A569),"",VLOOKUP(A569,DOI_URL!$B$1:$C$74,2,FALSE()))</f>
        <v/>
      </c>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c r="AA569" s="22"/>
      <c r="AB569" s="22"/>
      <c r="AC569" s="22"/>
      <c r="AD569" s="22"/>
      <c r="AE569" s="22"/>
    </row>
    <row r="570">
      <c r="A570" s="22"/>
      <c r="B570" s="22" t="str">
        <f>IF(ISBLANK(A570),"",VLOOKUP(A570,DOI_URL!$B$1:$C$74,2,FALSE()))</f>
        <v/>
      </c>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c r="AA570" s="22"/>
      <c r="AB570" s="22"/>
      <c r="AC570" s="22"/>
      <c r="AD570" s="22"/>
      <c r="AE570" s="22"/>
    </row>
    <row r="571">
      <c r="A571" s="22"/>
      <c r="B571" s="22" t="str">
        <f>IF(ISBLANK(A571),"",VLOOKUP(A571,DOI_URL!$B$1:$C$74,2,FALSE()))</f>
        <v/>
      </c>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c r="AA571" s="22"/>
      <c r="AB571" s="22"/>
      <c r="AC571" s="22"/>
      <c r="AD571" s="22"/>
      <c r="AE571" s="22"/>
    </row>
    <row r="572">
      <c r="A572" s="22"/>
      <c r="B572" s="22" t="str">
        <f>IF(ISBLANK(A572),"",VLOOKUP(A572,DOI_URL!$B$1:$C$74,2,FALSE()))</f>
        <v/>
      </c>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c r="AA572" s="22"/>
      <c r="AB572" s="22"/>
      <c r="AC572" s="22"/>
      <c r="AD572" s="22"/>
      <c r="AE572" s="22"/>
    </row>
    <row r="573">
      <c r="A573" s="22"/>
      <c r="B573" s="22" t="str">
        <f>IF(ISBLANK(A573),"",VLOOKUP(A573,DOI_URL!$B$1:$C$74,2,FALSE()))</f>
        <v/>
      </c>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c r="AA573" s="22"/>
      <c r="AB573" s="22"/>
      <c r="AC573" s="22"/>
      <c r="AD573" s="22"/>
      <c r="AE573" s="22"/>
    </row>
    <row r="574">
      <c r="A574" s="22"/>
      <c r="B574" s="22" t="str">
        <f>IF(ISBLANK(A574),"",VLOOKUP(A574,DOI_URL!$B$1:$C$74,2,FALSE()))</f>
        <v/>
      </c>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c r="AA574" s="22"/>
      <c r="AB574" s="22"/>
      <c r="AC574" s="22"/>
      <c r="AD574" s="22"/>
      <c r="AE574" s="22"/>
    </row>
    <row r="575">
      <c r="A575" s="22"/>
      <c r="B575" s="22" t="str">
        <f>IF(ISBLANK(A575),"",VLOOKUP(A575,DOI_URL!$B$1:$C$74,2,FALSE()))</f>
        <v/>
      </c>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row>
    <row r="576">
      <c r="A576" s="22"/>
      <c r="B576" s="22" t="str">
        <f>IF(ISBLANK(A576),"",VLOOKUP(A576,DOI_URL!$B$1:$C$74,2,FALSE()))</f>
        <v/>
      </c>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c r="AA576" s="22"/>
      <c r="AB576" s="22"/>
      <c r="AC576" s="22"/>
      <c r="AD576" s="22"/>
      <c r="AE576" s="22"/>
    </row>
    <row r="577">
      <c r="A577" s="22"/>
      <c r="B577" s="22" t="str">
        <f>IF(ISBLANK(A577),"",VLOOKUP(A577,DOI_URL!$B$1:$C$74,2,FALSE()))</f>
        <v/>
      </c>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c r="AA577" s="22"/>
      <c r="AB577" s="22"/>
      <c r="AC577" s="22"/>
      <c r="AD577" s="22"/>
      <c r="AE577" s="22"/>
    </row>
    <row r="578">
      <c r="A578" s="22"/>
      <c r="B578" s="22" t="str">
        <f>IF(ISBLANK(A578),"",VLOOKUP(A578,DOI_URL!$B$1:$C$74,2,FALSE()))</f>
        <v/>
      </c>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c r="AA578" s="22"/>
      <c r="AB578" s="22"/>
      <c r="AC578" s="22"/>
      <c r="AD578" s="22"/>
      <c r="AE578" s="22"/>
    </row>
    <row r="579">
      <c r="A579" s="22"/>
      <c r="B579" s="22" t="str">
        <f>IF(ISBLANK(A579),"",VLOOKUP(A579,DOI_URL!$B$1:$C$74,2,FALSE()))</f>
        <v/>
      </c>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c r="AA579" s="22"/>
      <c r="AB579" s="22"/>
      <c r="AC579" s="22"/>
      <c r="AD579" s="22"/>
      <c r="AE579" s="22"/>
    </row>
    <row r="580">
      <c r="A580" s="22"/>
      <c r="B580" s="22" t="str">
        <f>IF(ISBLANK(A580),"",VLOOKUP(A580,DOI_URL!$B$1:$C$74,2,FALSE()))</f>
        <v/>
      </c>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c r="AA580" s="22"/>
      <c r="AB580" s="22"/>
      <c r="AC580" s="22"/>
      <c r="AD580" s="22"/>
      <c r="AE580" s="22"/>
    </row>
    <row r="581">
      <c r="A581" s="22"/>
      <c r="B581" s="22" t="str">
        <f>IF(ISBLANK(A581),"",VLOOKUP(A581,DOI_URL!$B$1:$C$74,2,FALSE()))</f>
        <v/>
      </c>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c r="AA581" s="22"/>
      <c r="AB581" s="22"/>
      <c r="AC581" s="22"/>
      <c r="AD581" s="22"/>
      <c r="AE581" s="22"/>
    </row>
    <row r="582">
      <c r="A582" s="22"/>
      <c r="B582" s="22" t="str">
        <f>IF(ISBLANK(A582),"",VLOOKUP(A582,DOI_URL!$B$1:$C$74,2,FALSE()))</f>
        <v/>
      </c>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c r="AA582" s="22"/>
      <c r="AB582" s="22"/>
      <c r="AC582" s="22"/>
      <c r="AD582" s="22"/>
      <c r="AE582" s="22"/>
    </row>
    <row r="583">
      <c r="A583" s="22"/>
      <c r="B583" s="22" t="str">
        <f>IF(ISBLANK(A583),"",VLOOKUP(A583,DOI_URL!$B$1:$C$74,2,FALSE()))</f>
        <v/>
      </c>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c r="AA583" s="22"/>
      <c r="AB583" s="22"/>
      <c r="AC583" s="22"/>
      <c r="AD583" s="22"/>
      <c r="AE583" s="22"/>
    </row>
    <row r="584">
      <c r="A584" s="22"/>
      <c r="B584" s="22" t="str">
        <f>IF(ISBLANK(A584),"",VLOOKUP(A584,DOI_URL!$B$1:$C$74,2,FALSE()))</f>
        <v/>
      </c>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c r="AA584" s="22"/>
      <c r="AB584" s="22"/>
      <c r="AC584" s="22"/>
      <c r="AD584" s="22"/>
      <c r="AE584" s="22"/>
    </row>
    <row r="585">
      <c r="A585" s="22"/>
      <c r="B585" s="22" t="str">
        <f>IF(ISBLANK(A585),"",VLOOKUP(A585,DOI_URL!$B$1:$C$74,2,FALSE()))</f>
        <v/>
      </c>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c r="AA585" s="22"/>
      <c r="AB585" s="22"/>
      <c r="AC585" s="22"/>
      <c r="AD585" s="22"/>
      <c r="AE585" s="22"/>
    </row>
    <row r="586">
      <c r="A586" s="22"/>
      <c r="B586" s="22" t="str">
        <f>IF(ISBLANK(A586),"",VLOOKUP(A586,DOI_URL!$B$1:$C$74,2,FALSE()))</f>
        <v/>
      </c>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c r="AA586" s="22"/>
      <c r="AB586" s="22"/>
      <c r="AC586" s="22"/>
      <c r="AD586" s="22"/>
      <c r="AE586" s="22"/>
    </row>
    <row r="587">
      <c r="A587" s="22"/>
      <c r="B587" s="22" t="str">
        <f>IF(ISBLANK(A587),"",VLOOKUP(A587,DOI_URL!$B$1:$C$74,2,FALSE()))</f>
        <v/>
      </c>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c r="AA587" s="22"/>
      <c r="AB587" s="22"/>
      <c r="AC587" s="22"/>
      <c r="AD587" s="22"/>
      <c r="AE587" s="22"/>
    </row>
    <row r="588">
      <c r="A588" s="22"/>
      <c r="B588" s="22" t="str">
        <f>IF(ISBLANK(A588),"",VLOOKUP(A588,DOI_URL!$B$1:$C$74,2,FALSE()))</f>
        <v/>
      </c>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c r="AA588" s="22"/>
      <c r="AB588" s="22"/>
      <c r="AC588" s="22"/>
      <c r="AD588" s="22"/>
      <c r="AE588" s="22"/>
    </row>
    <row r="589">
      <c r="A589" s="22"/>
      <c r="B589" s="22" t="str">
        <f>IF(ISBLANK(A589),"",VLOOKUP(A589,DOI_URL!$B$1:$C$74,2,FALSE()))</f>
        <v/>
      </c>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c r="AA589" s="22"/>
      <c r="AB589" s="22"/>
      <c r="AC589" s="22"/>
      <c r="AD589" s="22"/>
      <c r="AE589" s="22"/>
    </row>
    <row r="590">
      <c r="A590" s="22"/>
      <c r="B590" s="22" t="str">
        <f>IF(ISBLANK(A590),"",VLOOKUP(A590,DOI_URL!$B$1:$C$74,2,FALSE()))</f>
        <v/>
      </c>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c r="AA590" s="22"/>
      <c r="AB590" s="22"/>
      <c r="AC590" s="22"/>
      <c r="AD590" s="22"/>
      <c r="AE590" s="22"/>
    </row>
    <row r="591">
      <c r="A591" s="22"/>
      <c r="B591" s="22" t="str">
        <f>IF(ISBLANK(A591),"",VLOOKUP(A591,DOI_URL!$B$1:$C$74,2,FALSE()))</f>
        <v/>
      </c>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c r="AA591" s="22"/>
      <c r="AB591" s="22"/>
      <c r="AC591" s="22"/>
      <c r="AD591" s="22"/>
      <c r="AE591" s="22"/>
    </row>
    <row r="592">
      <c r="A592" s="22"/>
      <c r="B592" s="22" t="str">
        <f>IF(ISBLANK(A592),"",VLOOKUP(A592,DOI_URL!$B$1:$C$74,2,FALSE()))</f>
        <v/>
      </c>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c r="AA592" s="22"/>
      <c r="AB592" s="22"/>
      <c r="AC592" s="22"/>
      <c r="AD592" s="22"/>
      <c r="AE592" s="22"/>
    </row>
    <row r="593">
      <c r="A593" s="22"/>
      <c r="B593" s="22" t="str">
        <f>IF(ISBLANK(A593),"",VLOOKUP(A593,DOI_URL!$B$1:$C$74,2,FALSE()))</f>
        <v/>
      </c>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c r="AA593" s="22"/>
      <c r="AB593" s="22"/>
      <c r="AC593" s="22"/>
      <c r="AD593" s="22"/>
      <c r="AE593" s="22"/>
    </row>
    <row r="594">
      <c r="A594" s="22"/>
      <c r="B594" s="22" t="str">
        <f>IF(ISBLANK(A594),"",VLOOKUP(A594,DOI_URL!$B$1:$C$74,2,FALSE()))</f>
        <v/>
      </c>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c r="AA594" s="22"/>
      <c r="AB594" s="22"/>
      <c r="AC594" s="22"/>
      <c r="AD594" s="22"/>
      <c r="AE594" s="22"/>
    </row>
    <row r="595">
      <c r="A595" s="22"/>
      <c r="B595" s="22" t="str">
        <f>IF(ISBLANK(A595),"",VLOOKUP(A595,DOI_URL!$B$1:$C$74,2,FALSE()))</f>
        <v/>
      </c>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c r="AA595" s="22"/>
      <c r="AB595" s="22"/>
      <c r="AC595" s="22"/>
      <c r="AD595" s="22"/>
      <c r="AE595" s="22"/>
    </row>
    <row r="596">
      <c r="A596" s="22"/>
      <c r="B596" s="22" t="str">
        <f>IF(ISBLANK(A596),"",VLOOKUP(A596,DOI_URL!$B$1:$C$74,2,FALSE()))</f>
        <v/>
      </c>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c r="AA596" s="22"/>
      <c r="AB596" s="22"/>
      <c r="AC596" s="22"/>
      <c r="AD596" s="22"/>
      <c r="AE596" s="22"/>
    </row>
    <row r="597">
      <c r="A597" s="22"/>
      <c r="B597" s="22" t="str">
        <f>IF(ISBLANK(A597),"",VLOOKUP(A597,DOI_URL!$B$1:$C$74,2,FALSE()))</f>
        <v/>
      </c>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c r="AA597" s="22"/>
      <c r="AB597" s="22"/>
      <c r="AC597" s="22"/>
      <c r="AD597" s="22"/>
      <c r="AE597" s="22"/>
    </row>
    <row r="598">
      <c r="A598" s="22"/>
      <c r="B598" s="22" t="str">
        <f>IF(ISBLANK(A598),"",VLOOKUP(A598,DOI_URL!$B$1:$C$74,2,FALSE()))</f>
        <v/>
      </c>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c r="AA598" s="22"/>
      <c r="AB598" s="22"/>
      <c r="AC598" s="22"/>
      <c r="AD598" s="22"/>
      <c r="AE598" s="22"/>
    </row>
    <row r="599">
      <c r="A599" s="22"/>
      <c r="B599" s="22" t="str">
        <f>IF(ISBLANK(A599),"",VLOOKUP(A599,DOI_URL!$B$1:$C$74,2,FALSE()))</f>
        <v/>
      </c>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c r="AA599" s="22"/>
      <c r="AB599" s="22"/>
      <c r="AC599" s="22"/>
      <c r="AD599" s="22"/>
      <c r="AE599" s="22"/>
    </row>
    <row r="600">
      <c r="A600" s="22"/>
      <c r="B600" s="22" t="str">
        <f>IF(ISBLANK(A600),"",VLOOKUP(A600,DOI_URL!$B$1:$C$74,2,FALSE()))</f>
        <v/>
      </c>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row>
    <row r="601">
      <c r="A601" s="22"/>
      <c r="B601" s="22" t="str">
        <f>IF(ISBLANK(A601),"",VLOOKUP(A601,DOI_URL!$B$1:$C$74,2,FALSE()))</f>
        <v/>
      </c>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c r="AA601" s="22"/>
      <c r="AB601" s="22"/>
      <c r="AC601" s="22"/>
      <c r="AD601" s="22"/>
      <c r="AE601" s="22"/>
    </row>
    <row r="602">
      <c r="A602" s="22"/>
      <c r="B602" s="22" t="str">
        <f>IF(ISBLANK(A602),"",VLOOKUP(A602,DOI_URL!$B$1:$C$74,2,FALSE()))</f>
        <v/>
      </c>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c r="AA602" s="22"/>
      <c r="AB602" s="22"/>
      <c r="AC602" s="22"/>
      <c r="AD602" s="22"/>
      <c r="AE602" s="22"/>
    </row>
    <row r="603">
      <c r="A603" s="22"/>
      <c r="B603" s="22" t="str">
        <f>IF(ISBLANK(A603),"",VLOOKUP(A603,DOI_URL!$B$1:$C$74,2,FALSE()))</f>
        <v/>
      </c>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c r="AA603" s="22"/>
      <c r="AB603" s="22"/>
      <c r="AC603" s="22"/>
      <c r="AD603" s="22"/>
      <c r="AE603" s="22"/>
    </row>
    <row r="604">
      <c r="A604" s="22"/>
      <c r="B604" s="22" t="str">
        <f>IF(ISBLANK(A604),"",VLOOKUP(A604,DOI_URL!$B$1:$C$74,2,FALSE()))</f>
        <v/>
      </c>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c r="AA604" s="22"/>
      <c r="AB604" s="22"/>
      <c r="AC604" s="22"/>
      <c r="AD604" s="22"/>
      <c r="AE604" s="22"/>
    </row>
    <row r="605">
      <c r="A605" s="22"/>
      <c r="B605" s="22" t="str">
        <f>IF(ISBLANK(A605),"",VLOOKUP(A605,DOI_URL!$B$1:$C$74,2,FALSE()))</f>
        <v/>
      </c>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c r="AA605" s="22"/>
      <c r="AB605" s="22"/>
      <c r="AC605" s="22"/>
      <c r="AD605" s="22"/>
      <c r="AE605" s="22"/>
    </row>
    <row r="606">
      <c r="A606" s="22"/>
      <c r="B606" s="22" t="str">
        <f>IF(ISBLANK(A606),"",VLOOKUP(A606,DOI_URL!$B$1:$C$74,2,FALSE()))</f>
        <v/>
      </c>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c r="AA606" s="22"/>
      <c r="AB606" s="22"/>
      <c r="AC606" s="22"/>
      <c r="AD606" s="22"/>
      <c r="AE606" s="22"/>
    </row>
    <row r="607">
      <c r="A607" s="22"/>
      <c r="B607" s="22" t="str">
        <f>IF(ISBLANK(A607),"",VLOOKUP(A607,DOI_URL!$B$1:$C$74,2,FALSE()))</f>
        <v/>
      </c>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c r="AA607" s="22"/>
      <c r="AB607" s="22"/>
      <c r="AC607" s="22"/>
      <c r="AD607" s="22"/>
      <c r="AE607" s="22"/>
    </row>
    <row r="608">
      <c r="A608" s="22"/>
      <c r="B608" s="22" t="str">
        <f>IF(ISBLANK(A608),"",VLOOKUP(A608,DOI_URL!$B$1:$C$74,2,FALSE()))</f>
        <v/>
      </c>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c r="AA608" s="22"/>
      <c r="AB608" s="22"/>
      <c r="AC608" s="22"/>
      <c r="AD608" s="22"/>
      <c r="AE608" s="22"/>
    </row>
    <row r="609">
      <c r="A609" s="22"/>
      <c r="B609" s="22" t="str">
        <f>IF(ISBLANK(A609),"",VLOOKUP(A609,DOI_URL!$B$1:$C$74,2,FALSE()))</f>
        <v/>
      </c>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c r="AA609" s="22"/>
      <c r="AB609" s="22"/>
      <c r="AC609" s="22"/>
      <c r="AD609" s="22"/>
      <c r="AE609" s="22"/>
    </row>
    <row r="610">
      <c r="A610" s="22"/>
      <c r="B610" s="22" t="str">
        <f>IF(ISBLANK(A610),"",VLOOKUP(A610,DOI_URL!$B$1:$C$74,2,FALSE()))</f>
        <v/>
      </c>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c r="AA610" s="22"/>
      <c r="AB610" s="22"/>
      <c r="AC610" s="22"/>
      <c r="AD610" s="22"/>
      <c r="AE610" s="22"/>
    </row>
    <row r="611">
      <c r="A611" s="22"/>
      <c r="B611" s="22" t="str">
        <f>IF(ISBLANK(A611),"",VLOOKUP(A611,DOI_URL!$B$1:$C$74,2,FALSE()))</f>
        <v/>
      </c>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c r="AA611" s="22"/>
      <c r="AB611" s="22"/>
      <c r="AC611" s="22"/>
      <c r="AD611" s="22"/>
      <c r="AE611" s="22"/>
    </row>
    <row r="612">
      <c r="A612" s="22"/>
      <c r="B612" s="22" t="str">
        <f>IF(ISBLANK(A612),"",VLOOKUP(A612,DOI_URL!$B$1:$C$74,2,FALSE()))</f>
        <v/>
      </c>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c r="AA612" s="22"/>
      <c r="AB612" s="22"/>
      <c r="AC612" s="22"/>
      <c r="AD612" s="22"/>
      <c r="AE612" s="22"/>
    </row>
    <row r="613">
      <c r="A613" s="22"/>
      <c r="B613" s="22" t="str">
        <f>IF(ISBLANK(A613),"",VLOOKUP(A613,DOI_URL!$B$1:$C$74,2,FALSE()))</f>
        <v/>
      </c>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c r="AA613" s="22"/>
      <c r="AB613" s="22"/>
      <c r="AC613" s="22"/>
      <c r="AD613" s="22"/>
      <c r="AE613" s="22"/>
    </row>
    <row r="614">
      <c r="A614" s="22"/>
      <c r="B614" s="22" t="str">
        <f>IF(ISBLANK(A614),"",VLOOKUP(A614,DOI_URL!$B$1:$C$74,2,FALSE()))</f>
        <v/>
      </c>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c r="AA614" s="22"/>
      <c r="AB614" s="22"/>
      <c r="AC614" s="22"/>
      <c r="AD614" s="22"/>
      <c r="AE614" s="22"/>
    </row>
    <row r="615">
      <c r="A615" s="22"/>
      <c r="B615" s="22" t="str">
        <f>IF(ISBLANK(A615),"",VLOOKUP(A615,DOI_URL!$B$1:$C$74,2,FALSE()))</f>
        <v/>
      </c>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c r="AA615" s="22"/>
      <c r="AB615" s="22"/>
      <c r="AC615" s="22"/>
      <c r="AD615" s="22"/>
      <c r="AE615" s="22"/>
    </row>
    <row r="616">
      <c r="A616" s="22"/>
      <c r="B616" s="22" t="str">
        <f>IF(ISBLANK(A616),"",VLOOKUP(A616,DOI_URL!$B$1:$C$74,2,FALSE()))</f>
        <v/>
      </c>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c r="AA616" s="22"/>
      <c r="AB616" s="22"/>
      <c r="AC616" s="22"/>
      <c r="AD616" s="22"/>
      <c r="AE616" s="22"/>
    </row>
    <row r="617">
      <c r="A617" s="22"/>
      <c r="B617" s="22" t="str">
        <f>IF(ISBLANK(A617),"",VLOOKUP(A617,DOI_URL!$B$1:$C$74,2,FALSE()))</f>
        <v/>
      </c>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c r="AA617" s="22"/>
      <c r="AB617" s="22"/>
      <c r="AC617" s="22"/>
      <c r="AD617" s="22"/>
      <c r="AE617" s="22"/>
    </row>
    <row r="618">
      <c r="A618" s="22"/>
      <c r="B618" s="22" t="str">
        <f>IF(ISBLANK(A618),"",VLOOKUP(A618,DOI_URL!$B$1:$C$74,2,FALSE()))</f>
        <v/>
      </c>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c r="AA618" s="22"/>
      <c r="AB618" s="22"/>
      <c r="AC618" s="22"/>
      <c r="AD618" s="22"/>
      <c r="AE618" s="22"/>
    </row>
    <row r="619">
      <c r="A619" s="22"/>
      <c r="B619" s="22" t="str">
        <f>IF(ISBLANK(A619),"",VLOOKUP(A619,DOI_URL!$B$1:$C$74,2,FALSE()))</f>
        <v/>
      </c>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c r="AA619" s="22"/>
      <c r="AB619" s="22"/>
      <c r="AC619" s="22"/>
      <c r="AD619" s="22"/>
      <c r="AE619" s="22"/>
    </row>
    <row r="620">
      <c r="A620" s="22"/>
      <c r="B620" s="22" t="str">
        <f>IF(ISBLANK(A620),"",VLOOKUP(A620,DOI_URL!$B$1:$C$74,2,FALSE()))</f>
        <v/>
      </c>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c r="AA620" s="22"/>
      <c r="AB620" s="22"/>
      <c r="AC620" s="22"/>
      <c r="AD620" s="22"/>
      <c r="AE620" s="22"/>
    </row>
    <row r="621">
      <c r="A621" s="22"/>
      <c r="B621" s="22" t="str">
        <f>IF(ISBLANK(A621),"",VLOOKUP(A621,DOI_URL!$B$1:$C$74,2,FALSE()))</f>
        <v/>
      </c>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c r="AA621" s="22"/>
      <c r="AB621" s="22"/>
      <c r="AC621" s="22"/>
      <c r="AD621" s="22"/>
      <c r="AE621" s="22"/>
    </row>
    <row r="622">
      <c r="A622" s="22"/>
      <c r="B622" s="22" t="str">
        <f>IF(ISBLANK(A622),"",VLOOKUP(A622,DOI_URL!$B$1:$C$74,2,FALSE()))</f>
        <v/>
      </c>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c r="AA622" s="22"/>
      <c r="AB622" s="22"/>
      <c r="AC622" s="22"/>
      <c r="AD622" s="22"/>
      <c r="AE622" s="22"/>
    </row>
    <row r="623">
      <c r="A623" s="22"/>
      <c r="B623" s="22" t="str">
        <f>IF(ISBLANK(A623),"",VLOOKUP(A623,DOI_URL!$B$1:$C$74,2,FALSE()))</f>
        <v/>
      </c>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c r="AA623" s="22"/>
      <c r="AB623" s="22"/>
      <c r="AC623" s="22"/>
      <c r="AD623" s="22"/>
      <c r="AE623" s="22"/>
    </row>
    <row r="624">
      <c r="A624" s="22"/>
      <c r="B624" s="22" t="str">
        <f>IF(ISBLANK(A624),"",VLOOKUP(A624,DOI_URL!$B$1:$C$74,2,FALSE()))</f>
        <v/>
      </c>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c r="AA624" s="22"/>
      <c r="AB624" s="22"/>
      <c r="AC624" s="22"/>
      <c r="AD624" s="22"/>
      <c r="AE624" s="22"/>
    </row>
    <row r="625">
      <c r="A625" s="22"/>
      <c r="B625" s="22" t="str">
        <f>IF(ISBLANK(A625),"",VLOOKUP(A625,DOI_URL!$B$1:$C$74,2,FALSE()))</f>
        <v/>
      </c>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row>
    <row r="626">
      <c r="A626" s="22"/>
      <c r="B626" s="22" t="str">
        <f>IF(ISBLANK(A626),"",VLOOKUP(A626,DOI_URL!$B$1:$C$74,2,FALSE()))</f>
        <v/>
      </c>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c r="AA626" s="22"/>
      <c r="AB626" s="22"/>
      <c r="AC626" s="22"/>
      <c r="AD626" s="22"/>
      <c r="AE626" s="22"/>
    </row>
    <row r="627">
      <c r="A627" s="22"/>
      <c r="B627" s="22" t="str">
        <f>IF(ISBLANK(A627),"",VLOOKUP(A627,DOI_URL!$B$1:$C$74,2,FALSE()))</f>
        <v/>
      </c>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c r="AA627" s="22"/>
      <c r="AB627" s="22"/>
      <c r="AC627" s="22"/>
      <c r="AD627" s="22"/>
      <c r="AE627" s="22"/>
    </row>
    <row r="628">
      <c r="A628" s="22"/>
      <c r="B628" s="22" t="str">
        <f>IF(ISBLANK(A628),"",VLOOKUP(A628,DOI_URL!$B$1:$C$74,2,FALSE()))</f>
        <v/>
      </c>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c r="AA628" s="22"/>
      <c r="AB628" s="22"/>
      <c r="AC628" s="22"/>
      <c r="AD628" s="22"/>
      <c r="AE628" s="22"/>
    </row>
    <row r="629">
      <c r="A629" s="22"/>
      <c r="B629" s="22" t="str">
        <f>IF(ISBLANK(A629),"",VLOOKUP(A629,DOI_URL!$B$1:$C$74,2,FALSE()))</f>
        <v/>
      </c>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c r="AA629" s="22"/>
      <c r="AB629" s="22"/>
      <c r="AC629" s="22"/>
      <c r="AD629" s="22"/>
      <c r="AE629" s="22"/>
    </row>
    <row r="630">
      <c r="A630" s="22"/>
      <c r="B630" s="22" t="str">
        <f>IF(ISBLANK(A630),"",VLOOKUP(A630,DOI_URL!$B$1:$C$74,2,FALSE()))</f>
        <v/>
      </c>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c r="AA630" s="22"/>
      <c r="AB630" s="22"/>
      <c r="AC630" s="22"/>
      <c r="AD630" s="22"/>
      <c r="AE630" s="22"/>
    </row>
    <row r="631">
      <c r="A631" s="22"/>
      <c r="B631" s="22" t="str">
        <f>IF(ISBLANK(A631),"",VLOOKUP(A631,DOI_URL!$B$1:$C$74,2,FALSE()))</f>
        <v/>
      </c>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c r="AA631" s="22"/>
      <c r="AB631" s="22"/>
      <c r="AC631" s="22"/>
      <c r="AD631" s="22"/>
      <c r="AE631" s="22"/>
    </row>
    <row r="632">
      <c r="A632" s="22"/>
      <c r="B632" s="22" t="str">
        <f>IF(ISBLANK(A632),"",VLOOKUP(A632,DOI_URL!$B$1:$C$74,2,FALSE()))</f>
        <v/>
      </c>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c r="AA632" s="22"/>
      <c r="AB632" s="22"/>
      <c r="AC632" s="22"/>
      <c r="AD632" s="22"/>
      <c r="AE632" s="22"/>
    </row>
    <row r="633">
      <c r="A633" s="22"/>
      <c r="B633" s="22" t="str">
        <f>IF(ISBLANK(A633),"",VLOOKUP(A633,DOI_URL!$B$1:$C$74,2,FALSE()))</f>
        <v/>
      </c>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c r="AA633" s="22"/>
      <c r="AB633" s="22"/>
      <c r="AC633" s="22"/>
      <c r="AD633" s="22"/>
      <c r="AE633" s="22"/>
    </row>
    <row r="634">
      <c r="A634" s="22"/>
      <c r="B634" s="22" t="str">
        <f>IF(ISBLANK(A634),"",VLOOKUP(A634,DOI_URL!$B$1:$C$74,2,FALSE()))</f>
        <v/>
      </c>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c r="AA634" s="22"/>
      <c r="AB634" s="22"/>
      <c r="AC634" s="22"/>
      <c r="AD634" s="22"/>
      <c r="AE634" s="22"/>
    </row>
    <row r="635">
      <c r="A635" s="22"/>
      <c r="B635" s="22" t="str">
        <f>IF(ISBLANK(A635),"",VLOOKUP(A635,DOI_URL!$B$1:$C$74,2,FALSE()))</f>
        <v/>
      </c>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c r="AA635" s="22"/>
      <c r="AB635" s="22"/>
      <c r="AC635" s="22"/>
      <c r="AD635" s="22"/>
      <c r="AE635" s="22"/>
    </row>
    <row r="636">
      <c r="A636" s="22"/>
      <c r="B636" s="22" t="str">
        <f>IF(ISBLANK(A636),"",VLOOKUP(A636,DOI_URL!$B$1:$C$74,2,FALSE()))</f>
        <v/>
      </c>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c r="AA636" s="22"/>
      <c r="AB636" s="22"/>
      <c r="AC636" s="22"/>
      <c r="AD636" s="22"/>
      <c r="AE636" s="22"/>
    </row>
    <row r="637">
      <c r="A637" s="22"/>
      <c r="B637" s="22" t="str">
        <f>IF(ISBLANK(A637),"",VLOOKUP(A637,DOI_URL!$B$1:$C$74,2,FALSE()))</f>
        <v/>
      </c>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c r="AA637" s="22"/>
      <c r="AB637" s="22"/>
      <c r="AC637" s="22"/>
      <c r="AD637" s="22"/>
      <c r="AE637" s="22"/>
    </row>
    <row r="638">
      <c r="A638" s="22"/>
      <c r="B638" s="22" t="str">
        <f>IF(ISBLANK(A638),"",VLOOKUP(A638,DOI_URL!$B$1:$C$74,2,FALSE()))</f>
        <v/>
      </c>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c r="AA638" s="22"/>
      <c r="AB638" s="22"/>
      <c r="AC638" s="22"/>
      <c r="AD638" s="22"/>
      <c r="AE638" s="22"/>
    </row>
    <row r="639">
      <c r="A639" s="22"/>
      <c r="B639" s="22" t="str">
        <f>IF(ISBLANK(A639),"",VLOOKUP(A639,DOI_URL!$B$1:$C$74,2,FALSE()))</f>
        <v/>
      </c>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c r="AA639" s="22"/>
      <c r="AB639" s="22"/>
      <c r="AC639" s="22"/>
      <c r="AD639" s="22"/>
      <c r="AE639" s="22"/>
    </row>
    <row r="640">
      <c r="A640" s="22"/>
      <c r="B640" s="22" t="str">
        <f>IF(ISBLANK(A640),"",VLOOKUP(A640,DOI_URL!$B$1:$C$74,2,FALSE()))</f>
        <v/>
      </c>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c r="AA640" s="22"/>
      <c r="AB640" s="22"/>
      <c r="AC640" s="22"/>
      <c r="AD640" s="22"/>
      <c r="AE640" s="22"/>
    </row>
    <row r="641">
      <c r="A641" s="22"/>
      <c r="B641" s="22" t="str">
        <f>IF(ISBLANK(A641),"",VLOOKUP(A641,DOI_URL!$B$1:$C$74,2,FALSE()))</f>
        <v/>
      </c>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c r="AA641" s="22"/>
      <c r="AB641" s="22"/>
      <c r="AC641" s="22"/>
      <c r="AD641" s="22"/>
      <c r="AE641" s="22"/>
    </row>
    <row r="642">
      <c r="A642" s="22"/>
      <c r="B642" s="22" t="str">
        <f>IF(ISBLANK(A642),"",VLOOKUP(A642,DOI_URL!$B$1:$C$74,2,FALSE()))</f>
        <v/>
      </c>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c r="AA642" s="22"/>
      <c r="AB642" s="22"/>
      <c r="AC642" s="22"/>
      <c r="AD642" s="22"/>
      <c r="AE642" s="22"/>
    </row>
    <row r="643">
      <c r="A643" s="22"/>
      <c r="B643" s="22" t="str">
        <f>IF(ISBLANK(A643),"",VLOOKUP(A643,DOI_URL!$B$1:$C$74,2,FALSE()))</f>
        <v/>
      </c>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c r="AA643" s="22"/>
      <c r="AB643" s="22"/>
      <c r="AC643" s="22"/>
      <c r="AD643" s="22"/>
      <c r="AE643" s="22"/>
    </row>
    <row r="644">
      <c r="A644" s="22"/>
      <c r="B644" s="22" t="str">
        <f>IF(ISBLANK(A644),"",VLOOKUP(A644,DOI_URL!$B$1:$C$74,2,FALSE()))</f>
        <v/>
      </c>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c r="AA644" s="22"/>
      <c r="AB644" s="22"/>
      <c r="AC644" s="22"/>
      <c r="AD644" s="22"/>
      <c r="AE644" s="22"/>
    </row>
    <row r="645">
      <c r="A645" s="22"/>
      <c r="B645" s="22" t="str">
        <f>IF(ISBLANK(A645),"",VLOOKUP(A645,DOI_URL!$B$1:$C$74,2,FALSE()))</f>
        <v/>
      </c>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c r="AA645" s="22"/>
      <c r="AB645" s="22"/>
      <c r="AC645" s="22"/>
      <c r="AD645" s="22"/>
      <c r="AE645" s="22"/>
    </row>
    <row r="646">
      <c r="A646" s="22"/>
      <c r="B646" s="22" t="str">
        <f>IF(ISBLANK(A646),"",VLOOKUP(A646,DOI_URL!$B$1:$C$74,2,FALSE()))</f>
        <v/>
      </c>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c r="AA646" s="22"/>
      <c r="AB646" s="22"/>
      <c r="AC646" s="22"/>
      <c r="AD646" s="22"/>
      <c r="AE646" s="22"/>
    </row>
    <row r="647">
      <c r="A647" s="22"/>
      <c r="B647" s="22" t="str">
        <f>IF(ISBLANK(A647),"",VLOOKUP(A647,DOI_URL!$B$1:$C$74,2,FALSE()))</f>
        <v/>
      </c>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c r="AA647" s="22"/>
      <c r="AB647" s="22"/>
      <c r="AC647" s="22"/>
      <c r="AD647" s="22"/>
      <c r="AE647" s="22"/>
    </row>
    <row r="648">
      <c r="A648" s="22"/>
      <c r="B648" s="22" t="str">
        <f>IF(ISBLANK(A648),"",VLOOKUP(A648,DOI_URL!$B$1:$C$74,2,FALSE()))</f>
        <v/>
      </c>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c r="AA648" s="22"/>
      <c r="AB648" s="22"/>
      <c r="AC648" s="22"/>
      <c r="AD648" s="22"/>
      <c r="AE648" s="22"/>
    </row>
    <row r="649">
      <c r="A649" s="22"/>
      <c r="B649" s="22" t="str">
        <f>IF(ISBLANK(A649),"",VLOOKUP(A649,DOI_URL!$B$1:$C$74,2,FALSE()))</f>
        <v/>
      </c>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c r="AA649" s="22"/>
      <c r="AB649" s="22"/>
      <c r="AC649" s="22"/>
      <c r="AD649" s="22"/>
      <c r="AE649" s="22"/>
    </row>
    <row r="650">
      <c r="A650" s="22"/>
      <c r="B650" s="22" t="str">
        <f>IF(ISBLANK(A650),"",VLOOKUP(A650,DOI_URL!$B$1:$C$74,2,FALSE()))</f>
        <v/>
      </c>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row>
    <row r="651">
      <c r="A651" s="22"/>
      <c r="B651" s="22" t="str">
        <f>IF(ISBLANK(A651),"",VLOOKUP(A651,DOI_URL!$B$1:$C$74,2,FALSE()))</f>
        <v/>
      </c>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c r="AA651" s="22"/>
      <c r="AB651" s="22"/>
      <c r="AC651" s="22"/>
      <c r="AD651" s="22"/>
      <c r="AE651" s="22"/>
    </row>
    <row r="652">
      <c r="A652" s="22"/>
      <c r="B652" s="22" t="str">
        <f>IF(ISBLANK(A652),"",VLOOKUP(A652,DOI_URL!$B$1:$C$74,2,FALSE()))</f>
        <v/>
      </c>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c r="AA652" s="22"/>
      <c r="AB652" s="22"/>
      <c r="AC652" s="22"/>
      <c r="AD652" s="22"/>
      <c r="AE652" s="22"/>
    </row>
    <row r="653">
      <c r="A653" s="22"/>
      <c r="B653" s="22" t="str">
        <f>IF(ISBLANK(A653),"",VLOOKUP(A653,DOI_URL!$B$1:$C$74,2,FALSE()))</f>
        <v/>
      </c>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c r="AA653" s="22"/>
      <c r="AB653" s="22"/>
      <c r="AC653" s="22"/>
      <c r="AD653" s="22"/>
      <c r="AE653" s="22"/>
    </row>
    <row r="654">
      <c r="A654" s="22"/>
      <c r="B654" s="22" t="str">
        <f>IF(ISBLANK(A654),"",VLOOKUP(A654,DOI_URL!$B$1:$C$74,2,FALSE()))</f>
        <v/>
      </c>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c r="AA654" s="22"/>
      <c r="AB654" s="22"/>
      <c r="AC654" s="22"/>
      <c r="AD654" s="22"/>
      <c r="AE654" s="22"/>
    </row>
    <row r="655">
      <c r="A655" s="22"/>
      <c r="B655" s="22" t="str">
        <f>IF(ISBLANK(A655),"",VLOOKUP(A655,DOI_URL!$B$1:$C$74,2,FALSE()))</f>
        <v/>
      </c>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c r="AA655" s="22"/>
      <c r="AB655" s="22"/>
      <c r="AC655" s="22"/>
      <c r="AD655" s="22"/>
      <c r="AE655" s="22"/>
    </row>
    <row r="656">
      <c r="A656" s="22"/>
      <c r="B656" s="22" t="str">
        <f>IF(ISBLANK(A656),"",VLOOKUP(A656,DOI_URL!$B$1:$C$74,2,FALSE()))</f>
        <v/>
      </c>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c r="AA656" s="22"/>
      <c r="AB656" s="22"/>
      <c r="AC656" s="22"/>
      <c r="AD656" s="22"/>
      <c r="AE656" s="22"/>
    </row>
    <row r="657">
      <c r="A657" s="22"/>
      <c r="B657" s="22" t="str">
        <f>IF(ISBLANK(A657),"",VLOOKUP(A657,DOI_URL!$B$1:$C$74,2,FALSE()))</f>
        <v/>
      </c>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c r="AA657" s="22"/>
      <c r="AB657" s="22"/>
      <c r="AC657" s="22"/>
      <c r="AD657" s="22"/>
      <c r="AE657" s="22"/>
    </row>
    <row r="658">
      <c r="A658" s="22"/>
      <c r="B658" s="22" t="str">
        <f>IF(ISBLANK(A658),"",VLOOKUP(A658,DOI_URL!$B$1:$C$74,2,FALSE()))</f>
        <v/>
      </c>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c r="AA658" s="22"/>
      <c r="AB658" s="22"/>
      <c r="AC658" s="22"/>
      <c r="AD658" s="22"/>
      <c r="AE658" s="22"/>
    </row>
    <row r="659">
      <c r="A659" s="22"/>
      <c r="B659" s="22" t="str">
        <f>IF(ISBLANK(A659),"",VLOOKUP(A659,DOI_URL!$B$1:$C$74,2,FALSE()))</f>
        <v/>
      </c>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c r="AA659" s="22"/>
      <c r="AB659" s="22"/>
      <c r="AC659" s="22"/>
      <c r="AD659" s="22"/>
      <c r="AE659" s="22"/>
    </row>
    <row r="660">
      <c r="A660" s="22"/>
      <c r="B660" s="22" t="str">
        <f>IF(ISBLANK(A660),"",VLOOKUP(A660,DOI_URL!$B$1:$C$74,2,FALSE()))</f>
        <v/>
      </c>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c r="AA660" s="22"/>
      <c r="AB660" s="22"/>
      <c r="AC660" s="22"/>
      <c r="AD660" s="22"/>
      <c r="AE660" s="22"/>
    </row>
    <row r="661">
      <c r="A661" s="22"/>
      <c r="B661" s="22" t="str">
        <f>IF(ISBLANK(A661),"",VLOOKUP(A661,DOI_URL!$B$1:$C$74,2,FALSE()))</f>
        <v/>
      </c>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c r="AA661" s="22"/>
      <c r="AB661" s="22"/>
      <c r="AC661" s="22"/>
      <c r="AD661" s="22"/>
      <c r="AE661" s="22"/>
    </row>
    <row r="662">
      <c r="A662" s="22"/>
      <c r="B662" s="22" t="str">
        <f>IF(ISBLANK(A662),"",VLOOKUP(A662,DOI_URL!$B$1:$C$74,2,FALSE()))</f>
        <v/>
      </c>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c r="AA662" s="22"/>
      <c r="AB662" s="22"/>
      <c r="AC662" s="22"/>
      <c r="AD662" s="22"/>
      <c r="AE662" s="22"/>
    </row>
    <row r="663">
      <c r="A663" s="22"/>
      <c r="B663" s="22" t="str">
        <f>IF(ISBLANK(A663),"",VLOOKUP(A663,DOI_URL!$B$1:$C$74,2,FALSE()))</f>
        <v/>
      </c>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c r="AA663" s="22"/>
      <c r="AB663" s="22"/>
      <c r="AC663" s="22"/>
      <c r="AD663" s="22"/>
      <c r="AE663" s="22"/>
    </row>
    <row r="664">
      <c r="A664" s="22"/>
      <c r="B664" s="22" t="str">
        <f>IF(ISBLANK(A664),"",VLOOKUP(A664,DOI_URL!$B$1:$C$74,2,FALSE()))</f>
        <v/>
      </c>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c r="AA664" s="22"/>
      <c r="AB664" s="22"/>
      <c r="AC664" s="22"/>
      <c r="AD664" s="22"/>
      <c r="AE664" s="22"/>
    </row>
    <row r="665">
      <c r="A665" s="22"/>
      <c r="B665" s="22" t="str">
        <f>IF(ISBLANK(A665),"",VLOOKUP(A665,DOI_URL!$B$1:$C$74,2,FALSE()))</f>
        <v/>
      </c>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c r="AA665" s="22"/>
      <c r="AB665" s="22"/>
      <c r="AC665" s="22"/>
      <c r="AD665" s="22"/>
      <c r="AE665" s="22"/>
    </row>
    <row r="666">
      <c r="A666" s="22"/>
      <c r="B666" s="22" t="str">
        <f>IF(ISBLANK(A666),"",VLOOKUP(A666,DOI_URL!$B$1:$C$74,2,FALSE()))</f>
        <v/>
      </c>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c r="AA666" s="22"/>
      <c r="AB666" s="22"/>
      <c r="AC666" s="22"/>
      <c r="AD666" s="22"/>
      <c r="AE666" s="22"/>
    </row>
    <row r="667">
      <c r="A667" s="22"/>
      <c r="B667" s="22" t="str">
        <f>IF(ISBLANK(A667),"",VLOOKUP(A667,DOI_URL!$B$1:$C$74,2,FALSE()))</f>
        <v/>
      </c>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c r="AA667" s="22"/>
      <c r="AB667" s="22"/>
      <c r="AC667" s="22"/>
      <c r="AD667" s="22"/>
      <c r="AE667" s="22"/>
    </row>
    <row r="668">
      <c r="A668" s="22"/>
      <c r="B668" s="22" t="str">
        <f>IF(ISBLANK(A668),"",VLOOKUP(A668,DOI_URL!$B$1:$C$74,2,FALSE()))</f>
        <v/>
      </c>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c r="AA668" s="22"/>
      <c r="AB668" s="22"/>
      <c r="AC668" s="22"/>
      <c r="AD668" s="22"/>
      <c r="AE668" s="22"/>
    </row>
    <row r="669">
      <c r="A669" s="22"/>
      <c r="B669" s="22" t="str">
        <f>IF(ISBLANK(A669),"",VLOOKUP(A669,DOI_URL!$B$1:$C$74,2,FALSE()))</f>
        <v/>
      </c>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c r="AA669" s="22"/>
      <c r="AB669" s="22"/>
      <c r="AC669" s="22"/>
      <c r="AD669" s="22"/>
      <c r="AE669" s="22"/>
    </row>
    <row r="670">
      <c r="A670" s="22"/>
      <c r="B670" s="22" t="str">
        <f>IF(ISBLANK(A670),"",VLOOKUP(A670,DOI_URL!$B$1:$C$74,2,FALSE()))</f>
        <v/>
      </c>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c r="AA670" s="22"/>
      <c r="AB670" s="22"/>
      <c r="AC670" s="22"/>
      <c r="AD670" s="22"/>
      <c r="AE670" s="22"/>
    </row>
    <row r="671">
      <c r="A671" s="22"/>
      <c r="B671" s="22" t="str">
        <f>IF(ISBLANK(A671),"",VLOOKUP(A671,DOI_URL!$B$1:$C$74,2,FALSE()))</f>
        <v/>
      </c>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c r="AA671" s="22"/>
      <c r="AB671" s="22"/>
      <c r="AC671" s="22"/>
      <c r="AD671" s="22"/>
      <c r="AE671" s="22"/>
    </row>
    <row r="672">
      <c r="A672" s="22"/>
      <c r="B672" s="22" t="str">
        <f>IF(ISBLANK(A672),"",VLOOKUP(A672,DOI_URL!$B$1:$C$74,2,FALSE()))</f>
        <v/>
      </c>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c r="AA672" s="22"/>
      <c r="AB672" s="22"/>
      <c r="AC672" s="22"/>
      <c r="AD672" s="22"/>
      <c r="AE672" s="22"/>
    </row>
    <row r="673">
      <c r="A673" s="22"/>
      <c r="B673" s="22" t="str">
        <f>IF(ISBLANK(A673),"",VLOOKUP(A673,DOI_URL!$B$1:$C$74,2,FALSE()))</f>
        <v/>
      </c>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c r="AA673" s="22"/>
      <c r="AB673" s="22"/>
      <c r="AC673" s="22"/>
      <c r="AD673" s="22"/>
      <c r="AE673" s="22"/>
    </row>
    <row r="674">
      <c r="A674" s="22"/>
      <c r="B674" s="22" t="str">
        <f>IF(ISBLANK(A674),"",VLOOKUP(A674,DOI_URL!$B$1:$C$74,2,FALSE()))</f>
        <v/>
      </c>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c r="AA674" s="22"/>
      <c r="AB674" s="22"/>
      <c r="AC674" s="22"/>
      <c r="AD674" s="22"/>
      <c r="AE674" s="22"/>
    </row>
    <row r="675">
      <c r="A675" s="22"/>
      <c r="B675" s="22" t="str">
        <f>IF(ISBLANK(A675),"",VLOOKUP(A675,DOI_URL!$B$1:$C$74,2,FALSE()))</f>
        <v/>
      </c>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row>
    <row r="676">
      <c r="A676" s="22"/>
      <c r="B676" s="22" t="str">
        <f>IF(ISBLANK(A676),"",VLOOKUP(A676,DOI_URL!$B$1:$C$74,2,FALSE()))</f>
        <v/>
      </c>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c r="AA676" s="22"/>
      <c r="AB676" s="22"/>
      <c r="AC676" s="22"/>
      <c r="AD676" s="22"/>
      <c r="AE676" s="22"/>
    </row>
    <row r="677">
      <c r="A677" s="22"/>
      <c r="B677" s="22" t="str">
        <f>IF(ISBLANK(A677),"",VLOOKUP(A677,DOI_URL!$B$1:$C$74,2,FALSE()))</f>
        <v/>
      </c>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c r="AA677" s="22"/>
      <c r="AB677" s="22"/>
      <c r="AC677" s="22"/>
      <c r="AD677" s="22"/>
      <c r="AE677" s="22"/>
    </row>
    <row r="678">
      <c r="A678" s="22"/>
      <c r="B678" s="22" t="str">
        <f>IF(ISBLANK(A678),"",VLOOKUP(A678,DOI_URL!$B$1:$C$74,2,FALSE()))</f>
        <v/>
      </c>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c r="AA678" s="22"/>
      <c r="AB678" s="22"/>
      <c r="AC678" s="22"/>
      <c r="AD678" s="22"/>
      <c r="AE678" s="22"/>
    </row>
    <row r="679">
      <c r="A679" s="22"/>
      <c r="B679" s="22" t="str">
        <f>IF(ISBLANK(A679),"",VLOOKUP(A679,DOI_URL!$B$1:$C$74,2,FALSE()))</f>
        <v/>
      </c>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c r="AA679" s="22"/>
      <c r="AB679" s="22"/>
      <c r="AC679" s="22"/>
      <c r="AD679" s="22"/>
      <c r="AE679" s="22"/>
    </row>
    <row r="680">
      <c r="A680" s="22"/>
      <c r="B680" s="22" t="str">
        <f>IF(ISBLANK(A680),"",VLOOKUP(A680,DOI_URL!$B$1:$C$74,2,FALSE()))</f>
        <v/>
      </c>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c r="AA680" s="22"/>
      <c r="AB680" s="22"/>
      <c r="AC680" s="22"/>
      <c r="AD680" s="22"/>
      <c r="AE680" s="22"/>
    </row>
    <row r="681">
      <c r="A681" s="22"/>
      <c r="B681" s="22" t="str">
        <f>IF(ISBLANK(A681),"",VLOOKUP(A681,DOI_URL!$B$1:$C$74,2,FALSE()))</f>
        <v/>
      </c>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c r="AA681" s="22"/>
      <c r="AB681" s="22"/>
      <c r="AC681" s="22"/>
      <c r="AD681" s="22"/>
      <c r="AE681" s="22"/>
    </row>
    <row r="682">
      <c r="A682" s="22"/>
      <c r="B682" s="22" t="str">
        <f>IF(ISBLANK(A682),"",VLOOKUP(A682,DOI_URL!$B$1:$C$74,2,FALSE()))</f>
        <v/>
      </c>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c r="AA682" s="22"/>
      <c r="AB682" s="22"/>
      <c r="AC682" s="22"/>
      <c r="AD682" s="22"/>
      <c r="AE682" s="22"/>
    </row>
    <row r="683">
      <c r="A683" s="22"/>
      <c r="B683" s="22" t="str">
        <f>IF(ISBLANK(A683),"",VLOOKUP(A683,DOI_URL!$B$1:$C$74,2,FALSE()))</f>
        <v/>
      </c>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c r="AA683" s="22"/>
      <c r="AB683" s="22"/>
      <c r="AC683" s="22"/>
      <c r="AD683" s="22"/>
      <c r="AE683" s="22"/>
    </row>
    <row r="684">
      <c r="A684" s="22"/>
      <c r="B684" s="22" t="str">
        <f>IF(ISBLANK(A684),"",VLOOKUP(A684,DOI_URL!$B$1:$C$74,2,FALSE()))</f>
        <v/>
      </c>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c r="AA684" s="22"/>
      <c r="AB684" s="22"/>
      <c r="AC684" s="22"/>
      <c r="AD684" s="22"/>
      <c r="AE684" s="22"/>
    </row>
    <row r="685">
      <c r="A685" s="22"/>
      <c r="B685" s="22" t="str">
        <f>IF(ISBLANK(A685),"",VLOOKUP(A685,DOI_URL!$B$1:$C$74,2,FALSE()))</f>
        <v/>
      </c>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c r="AA685" s="22"/>
      <c r="AB685" s="22"/>
      <c r="AC685" s="22"/>
      <c r="AD685" s="22"/>
      <c r="AE685" s="22"/>
    </row>
    <row r="686">
      <c r="A686" s="22"/>
      <c r="B686" s="22" t="str">
        <f>IF(ISBLANK(A686),"",VLOOKUP(A686,DOI_URL!$B$1:$C$74,2,FALSE()))</f>
        <v/>
      </c>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c r="AA686" s="22"/>
      <c r="AB686" s="22"/>
      <c r="AC686" s="22"/>
      <c r="AD686" s="22"/>
      <c r="AE686" s="22"/>
    </row>
    <row r="687">
      <c r="A687" s="22"/>
      <c r="B687" s="22" t="str">
        <f>IF(ISBLANK(A687),"",VLOOKUP(A687,DOI_URL!$B$1:$C$74,2,FALSE()))</f>
        <v/>
      </c>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c r="AA687" s="22"/>
      <c r="AB687" s="22"/>
      <c r="AC687" s="22"/>
      <c r="AD687" s="22"/>
      <c r="AE687" s="22"/>
    </row>
    <row r="688">
      <c r="A688" s="22"/>
      <c r="B688" s="22" t="str">
        <f>IF(ISBLANK(A688),"",VLOOKUP(A688,DOI_URL!$B$1:$C$74,2,FALSE()))</f>
        <v/>
      </c>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c r="AA688" s="22"/>
      <c r="AB688" s="22"/>
      <c r="AC688" s="22"/>
      <c r="AD688" s="22"/>
      <c r="AE688" s="22"/>
    </row>
    <row r="689">
      <c r="A689" s="22"/>
      <c r="B689" s="22" t="str">
        <f>IF(ISBLANK(A689),"",VLOOKUP(A689,DOI_URL!$B$1:$C$74,2,FALSE()))</f>
        <v/>
      </c>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c r="AA689" s="22"/>
      <c r="AB689" s="22"/>
      <c r="AC689" s="22"/>
      <c r="AD689" s="22"/>
      <c r="AE689" s="22"/>
    </row>
    <row r="690">
      <c r="A690" s="22"/>
      <c r="B690" s="22" t="str">
        <f>IF(ISBLANK(A690),"",VLOOKUP(A690,DOI_URL!$B$1:$C$74,2,FALSE()))</f>
        <v/>
      </c>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c r="AA690" s="22"/>
      <c r="AB690" s="22"/>
      <c r="AC690" s="22"/>
      <c r="AD690" s="22"/>
      <c r="AE690" s="22"/>
    </row>
    <row r="691">
      <c r="A691" s="22"/>
      <c r="B691" s="22" t="str">
        <f>IF(ISBLANK(A691),"",VLOOKUP(A691,DOI_URL!$B$1:$C$74,2,FALSE()))</f>
        <v/>
      </c>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c r="AA691" s="22"/>
      <c r="AB691" s="22"/>
      <c r="AC691" s="22"/>
      <c r="AD691" s="22"/>
      <c r="AE691" s="22"/>
    </row>
    <row r="692">
      <c r="A692" s="22"/>
      <c r="B692" s="22" t="str">
        <f>IF(ISBLANK(A692),"",VLOOKUP(A692,DOI_URL!$B$1:$C$74,2,FALSE()))</f>
        <v/>
      </c>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c r="AA692" s="22"/>
      <c r="AB692" s="22"/>
      <c r="AC692" s="22"/>
      <c r="AD692" s="22"/>
      <c r="AE692" s="22"/>
    </row>
    <row r="693">
      <c r="A693" s="22"/>
      <c r="B693" s="22" t="str">
        <f>IF(ISBLANK(A693),"",VLOOKUP(A693,DOI_URL!$B$1:$C$74,2,FALSE()))</f>
        <v/>
      </c>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c r="AA693" s="22"/>
      <c r="AB693" s="22"/>
      <c r="AC693" s="22"/>
      <c r="AD693" s="22"/>
      <c r="AE693" s="22"/>
    </row>
    <row r="694">
      <c r="A694" s="22"/>
      <c r="B694" s="22" t="str">
        <f>IF(ISBLANK(A694),"",VLOOKUP(A694,DOI_URL!$B$1:$C$74,2,FALSE()))</f>
        <v/>
      </c>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c r="AA694" s="22"/>
      <c r="AB694" s="22"/>
      <c r="AC694" s="22"/>
      <c r="AD694" s="22"/>
      <c r="AE694" s="22"/>
    </row>
    <row r="695">
      <c r="A695" s="22"/>
      <c r="B695" s="22" t="str">
        <f>IF(ISBLANK(A695),"",VLOOKUP(A695,DOI_URL!$B$1:$C$74,2,FALSE()))</f>
        <v/>
      </c>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c r="AA695" s="22"/>
      <c r="AB695" s="22"/>
      <c r="AC695" s="22"/>
      <c r="AD695" s="22"/>
      <c r="AE695" s="22"/>
    </row>
    <row r="696">
      <c r="A696" s="22"/>
      <c r="B696" s="22" t="str">
        <f>IF(ISBLANK(A696),"",VLOOKUP(A696,DOI_URL!$B$1:$C$74,2,FALSE()))</f>
        <v/>
      </c>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c r="AA696" s="22"/>
      <c r="AB696" s="22"/>
      <c r="AC696" s="22"/>
      <c r="AD696" s="22"/>
      <c r="AE696" s="22"/>
    </row>
    <row r="697">
      <c r="A697" s="22"/>
      <c r="B697" s="22" t="str">
        <f>IF(ISBLANK(A697),"",VLOOKUP(A697,DOI_URL!$B$1:$C$74,2,FALSE()))</f>
        <v/>
      </c>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c r="AA697" s="22"/>
      <c r="AB697" s="22"/>
      <c r="AC697" s="22"/>
      <c r="AD697" s="22"/>
      <c r="AE697" s="22"/>
    </row>
    <row r="698">
      <c r="A698" s="22"/>
      <c r="B698" s="22" t="str">
        <f>IF(ISBLANK(A698),"",VLOOKUP(A698,DOI_URL!$B$1:$C$74,2,FALSE()))</f>
        <v/>
      </c>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c r="AA698" s="22"/>
      <c r="AB698" s="22"/>
      <c r="AC698" s="22"/>
      <c r="AD698" s="22"/>
      <c r="AE698" s="22"/>
    </row>
    <row r="699">
      <c r="A699" s="22"/>
      <c r="B699" s="22" t="str">
        <f>IF(ISBLANK(A699),"",VLOOKUP(A699,DOI_URL!$B$1:$C$74,2,FALSE()))</f>
        <v/>
      </c>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c r="AA699" s="22"/>
      <c r="AB699" s="22"/>
      <c r="AC699" s="22"/>
      <c r="AD699" s="22"/>
      <c r="AE699" s="22"/>
    </row>
    <row r="700">
      <c r="A700" s="22"/>
      <c r="B700" s="22" t="str">
        <f>IF(ISBLANK(A700),"",VLOOKUP(A700,DOI_URL!$B$1:$C$74,2,FALSE()))</f>
        <v/>
      </c>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row>
    <row r="701">
      <c r="A701" s="22"/>
      <c r="B701" s="22" t="str">
        <f>IF(ISBLANK(A701),"",VLOOKUP(A701,DOI_URL!$B$1:$C$74,2,FALSE()))</f>
        <v/>
      </c>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c r="AA701" s="22"/>
      <c r="AB701" s="22"/>
      <c r="AC701" s="22"/>
      <c r="AD701" s="22"/>
      <c r="AE701" s="22"/>
    </row>
    <row r="702">
      <c r="A702" s="22"/>
      <c r="B702" s="22" t="str">
        <f>IF(ISBLANK(A702),"",VLOOKUP(A702,DOI_URL!$B$1:$C$74,2,FALSE()))</f>
        <v/>
      </c>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c r="AA702" s="22"/>
      <c r="AB702" s="22"/>
      <c r="AC702" s="22"/>
      <c r="AD702" s="22"/>
      <c r="AE702" s="22"/>
    </row>
    <row r="703">
      <c r="A703" s="22"/>
      <c r="B703" s="22" t="str">
        <f>IF(ISBLANK(A703),"",VLOOKUP(A703,DOI_URL!$B$1:$C$74,2,FALSE()))</f>
        <v/>
      </c>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c r="AA703" s="22"/>
      <c r="AB703" s="22"/>
      <c r="AC703" s="22"/>
      <c r="AD703" s="22"/>
      <c r="AE703" s="22"/>
    </row>
    <row r="704">
      <c r="A704" s="22"/>
      <c r="B704" s="22" t="str">
        <f>IF(ISBLANK(A704),"",VLOOKUP(A704,DOI_URL!$B$1:$C$74,2,FALSE()))</f>
        <v/>
      </c>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c r="AA704" s="22"/>
      <c r="AB704" s="22"/>
      <c r="AC704" s="22"/>
      <c r="AD704" s="22"/>
      <c r="AE704" s="22"/>
    </row>
    <row r="705">
      <c r="A705" s="22"/>
      <c r="B705" s="22" t="str">
        <f>IF(ISBLANK(A705),"",VLOOKUP(A705,DOI_URL!$B$1:$C$74,2,FALSE()))</f>
        <v/>
      </c>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c r="AA705" s="22"/>
      <c r="AB705" s="22"/>
      <c r="AC705" s="22"/>
      <c r="AD705" s="22"/>
      <c r="AE705" s="22"/>
    </row>
    <row r="706">
      <c r="A706" s="22"/>
      <c r="B706" s="22" t="str">
        <f>IF(ISBLANK(A706),"",VLOOKUP(A706,DOI_URL!$B$1:$C$74,2,FALSE()))</f>
        <v/>
      </c>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c r="AA706" s="22"/>
      <c r="AB706" s="22"/>
      <c r="AC706" s="22"/>
      <c r="AD706" s="22"/>
      <c r="AE706" s="22"/>
    </row>
    <row r="707">
      <c r="A707" s="22"/>
      <c r="B707" s="22" t="str">
        <f>IF(ISBLANK(A707),"",VLOOKUP(A707,DOI_URL!$B$1:$C$74,2,FALSE()))</f>
        <v/>
      </c>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c r="AA707" s="22"/>
      <c r="AB707" s="22"/>
      <c r="AC707" s="22"/>
      <c r="AD707" s="22"/>
      <c r="AE707" s="22"/>
    </row>
    <row r="708">
      <c r="A708" s="22"/>
      <c r="B708" s="22" t="str">
        <f>IF(ISBLANK(A708),"",VLOOKUP(A708,DOI_URL!$B$1:$C$74,2,FALSE()))</f>
        <v/>
      </c>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c r="AA708" s="22"/>
      <c r="AB708" s="22"/>
      <c r="AC708" s="22"/>
      <c r="AD708" s="22"/>
      <c r="AE708" s="22"/>
    </row>
    <row r="709">
      <c r="A709" s="22"/>
      <c r="B709" s="22" t="str">
        <f>IF(ISBLANK(A709),"",VLOOKUP(A709,DOI_URL!$B$1:$C$74,2,FALSE()))</f>
        <v/>
      </c>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c r="AA709" s="22"/>
      <c r="AB709" s="22"/>
      <c r="AC709" s="22"/>
      <c r="AD709" s="22"/>
      <c r="AE709" s="22"/>
    </row>
    <row r="710">
      <c r="A710" s="22"/>
      <c r="B710" s="22" t="str">
        <f>IF(ISBLANK(A710),"",VLOOKUP(A710,DOI_URL!$B$1:$C$74,2,FALSE()))</f>
        <v/>
      </c>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c r="AA710" s="22"/>
      <c r="AB710" s="22"/>
      <c r="AC710" s="22"/>
      <c r="AD710" s="22"/>
      <c r="AE710" s="22"/>
    </row>
    <row r="711">
      <c r="A711" s="22"/>
      <c r="B711" s="22" t="str">
        <f>IF(ISBLANK(A711),"",VLOOKUP(A711,DOI_URL!$B$1:$C$74,2,FALSE()))</f>
        <v/>
      </c>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c r="AA711" s="22"/>
      <c r="AB711" s="22"/>
      <c r="AC711" s="22"/>
      <c r="AD711" s="22"/>
      <c r="AE711" s="22"/>
    </row>
    <row r="712">
      <c r="A712" s="22"/>
      <c r="B712" s="22" t="str">
        <f>IF(ISBLANK(A712),"",VLOOKUP(A712,DOI_URL!$B$1:$C$74,2,FALSE()))</f>
        <v/>
      </c>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c r="AA712" s="22"/>
      <c r="AB712" s="22"/>
      <c r="AC712" s="22"/>
      <c r="AD712" s="22"/>
      <c r="AE712" s="22"/>
    </row>
    <row r="713">
      <c r="A713" s="22"/>
      <c r="B713" s="22" t="str">
        <f>IF(ISBLANK(A713),"",VLOOKUP(A713,DOI_URL!$B$1:$C$74,2,FALSE()))</f>
        <v/>
      </c>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c r="AA713" s="22"/>
      <c r="AB713" s="22"/>
      <c r="AC713" s="22"/>
      <c r="AD713" s="22"/>
      <c r="AE713" s="22"/>
    </row>
    <row r="714">
      <c r="A714" s="22"/>
      <c r="B714" s="22" t="str">
        <f>IF(ISBLANK(A714),"",VLOOKUP(A714,DOI_URL!$B$1:$C$74,2,FALSE()))</f>
        <v/>
      </c>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c r="AA714" s="22"/>
      <c r="AB714" s="22"/>
      <c r="AC714" s="22"/>
      <c r="AD714" s="22"/>
      <c r="AE714" s="22"/>
    </row>
    <row r="715">
      <c r="A715" s="22"/>
      <c r="B715" s="22" t="str">
        <f>IF(ISBLANK(A715),"",VLOOKUP(A715,DOI_URL!$B$1:$C$74,2,FALSE()))</f>
        <v/>
      </c>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c r="AA715" s="22"/>
      <c r="AB715" s="22"/>
      <c r="AC715" s="22"/>
      <c r="AD715" s="22"/>
      <c r="AE715" s="22"/>
    </row>
    <row r="716">
      <c r="A716" s="22"/>
      <c r="B716" s="22" t="str">
        <f>IF(ISBLANK(A716),"",VLOOKUP(A716,DOI_URL!$B$1:$C$74,2,FALSE()))</f>
        <v/>
      </c>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c r="AA716" s="22"/>
      <c r="AB716" s="22"/>
      <c r="AC716" s="22"/>
      <c r="AD716" s="22"/>
      <c r="AE716" s="22"/>
    </row>
    <row r="717">
      <c r="A717" s="22"/>
      <c r="B717" s="22" t="str">
        <f>IF(ISBLANK(A717),"",VLOOKUP(A717,DOI_URL!$B$1:$C$74,2,FALSE()))</f>
        <v/>
      </c>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c r="AA717" s="22"/>
      <c r="AB717" s="22"/>
      <c r="AC717" s="22"/>
      <c r="AD717" s="22"/>
      <c r="AE717" s="22"/>
    </row>
    <row r="718">
      <c r="A718" s="22"/>
      <c r="B718" s="22" t="str">
        <f>IF(ISBLANK(A718),"",VLOOKUP(A718,DOI_URL!$B$1:$C$74,2,FALSE()))</f>
        <v/>
      </c>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c r="AA718" s="22"/>
      <c r="AB718" s="22"/>
      <c r="AC718" s="22"/>
      <c r="AD718" s="22"/>
      <c r="AE718" s="22"/>
    </row>
    <row r="719">
      <c r="A719" s="22"/>
      <c r="B719" s="22" t="str">
        <f>IF(ISBLANK(A719),"",VLOOKUP(A719,DOI_URL!$B$1:$C$74,2,FALSE()))</f>
        <v/>
      </c>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c r="AA719" s="22"/>
      <c r="AB719" s="22"/>
      <c r="AC719" s="22"/>
      <c r="AD719" s="22"/>
      <c r="AE719" s="22"/>
    </row>
    <row r="720">
      <c r="A720" s="22"/>
      <c r="B720" s="22" t="str">
        <f>IF(ISBLANK(A720),"",VLOOKUP(A720,DOI_URL!$B$1:$C$74,2,FALSE()))</f>
        <v/>
      </c>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c r="AA720" s="22"/>
      <c r="AB720" s="22"/>
      <c r="AC720" s="22"/>
      <c r="AD720" s="22"/>
      <c r="AE720" s="22"/>
    </row>
    <row r="721">
      <c r="A721" s="22"/>
      <c r="B721" s="22" t="str">
        <f>IF(ISBLANK(A721),"",VLOOKUP(A721,DOI_URL!$B$1:$C$74,2,FALSE()))</f>
        <v/>
      </c>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c r="AA721" s="22"/>
      <c r="AB721" s="22"/>
      <c r="AC721" s="22"/>
      <c r="AD721" s="22"/>
      <c r="AE721" s="22"/>
    </row>
    <row r="722">
      <c r="A722" s="22"/>
      <c r="B722" s="22" t="str">
        <f>IF(ISBLANK(A722),"",VLOOKUP(A722,DOI_URL!$B$1:$C$74,2,FALSE()))</f>
        <v/>
      </c>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c r="AA722" s="22"/>
      <c r="AB722" s="22"/>
      <c r="AC722" s="22"/>
      <c r="AD722" s="22"/>
      <c r="AE722" s="22"/>
    </row>
    <row r="723">
      <c r="A723" s="22"/>
      <c r="B723" s="22" t="str">
        <f>IF(ISBLANK(A723),"",VLOOKUP(A723,DOI_URL!$B$1:$C$74,2,FALSE()))</f>
        <v/>
      </c>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c r="AA723" s="22"/>
      <c r="AB723" s="22"/>
      <c r="AC723" s="22"/>
      <c r="AD723" s="22"/>
      <c r="AE723" s="22"/>
    </row>
    <row r="724">
      <c r="A724" s="22"/>
      <c r="B724" s="22" t="str">
        <f>IF(ISBLANK(A724),"",VLOOKUP(A724,DOI_URL!$B$1:$C$74,2,FALSE()))</f>
        <v/>
      </c>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c r="AA724" s="22"/>
      <c r="AB724" s="22"/>
      <c r="AC724" s="22"/>
      <c r="AD724" s="22"/>
      <c r="AE724" s="22"/>
    </row>
    <row r="725">
      <c r="A725" s="22"/>
      <c r="B725" s="22" t="str">
        <f>IF(ISBLANK(A725),"",VLOOKUP(A725,DOI_URL!$B$1:$C$74,2,FALSE()))</f>
        <v/>
      </c>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row>
    <row r="726">
      <c r="A726" s="22"/>
      <c r="B726" s="22" t="str">
        <f>IF(ISBLANK(A726),"",VLOOKUP(A726,DOI_URL!$B$1:$C$74,2,FALSE()))</f>
        <v/>
      </c>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c r="AA726" s="22"/>
      <c r="AB726" s="22"/>
      <c r="AC726" s="22"/>
      <c r="AD726" s="22"/>
      <c r="AE726" s="22"/>
    </row>
    <row r="727">
      <c r="A727" s="22"/>
      <c r="B727" s="22" t="str">
        <f>IF(ISBLANK(A727),"",VLOOKUP(A727,DOI_URL!$B$1:$C$74,2,FALSE()))</f>
        <v/>
      </c>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c r="AA727" s="22"/>
      <c r="AB727" s="22"/>
      <c r="AC727" s="22"/>
      <c r="AD727" s="22"/>
      <c r="AE727" s="22"/>
    </row>
    <row r="728">
      <c r="A728" s="22"/>
      <c r="B728" s="22" t="str">
        <f>IF(ISBLANK(A728),"",VLOOKUP(A728,DOI_URL!$B$1:$C$74,2,FALSE()))</f>
        <v/>
      </c>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c r="AA728" s="22"/>
      <c r="AB728" s="22"/>
      <c r="AC728" s="22"/>
      <c r="AD728" s="22"/>
      <c r="AE728" s="22"/>
    </row>
    <row r="729">
      <c r="A729" s="22"/>
      <c r="B729" s="22" t="str">
        <f>IF(ISBLANK(A729),"",VLOOKUP(A729,DOI_URL!$B$1:$C$74,2,FALSE()))</f>
        <v/>
      </c>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c r="AA729" s="22"/>
      <c r="AB729" s="22"/>
      <c r="AC729" s="22"/>
      <c r="AD729" s="22"/>
      <c r="AE729" s="22"/>
    </row>
    <row r="730">
      <c r="A730" s="22"/>
      <c r="B730" s="22" t="str">
        <f>IF(ISBLANK(A730),"",VLOOKUP(A730,DOI_URL!$B$1:$C$74,2,FALSE()))</f>
        <v/>
      </c>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c r="AA730" s="22"/>
      <c r="AB730" s="22"/>
      <c r="AC730" s="22"/>
      <c r="AD730" s="22"/>
      <c r="AE730" s="22"/>
    </row>
    <row r="731">
      <c r="A731" s="22"/>
      <c r="B731" s="22" t="str">
        <f>IF(ISBLANK(A731),"",VLOOKUP(A731,DOI_URL!$B$1:$C$74,2,FALSE()))</f>
        <v/>
      </c>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c r="AA731" s="22"/>
      <c r="AB731" s="22"/>
      <c r="AC731" s="22"/>
      <c r="AD731" s="22"/>
      <c r="AE731" s="22"/>
    </row>
    <row r="732">
      <c r="A732" s="22"/>
      <c r="B732" s="22" t="str">
        <f>IF(ISBLANK(A732),"",VLOOKUP(A732,DOI_URL!$B$1:$C$74,2,FALSE()))</f>
        <v/>
      </c>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c r="AA732" s="22"/>
      <c r="AB732" s="22"/>
      <c r="AC732" s="22"/>
      <c r="AD732" s="22"/>
      <c r="AE732" s="22"/>
    </row>
    <row r="733">
      <c r="A733" s="22"/>
      <c r="B733" s="22" t="str">
        <f>IF(ISBLANK(A733),"",VLOOKUP(A733,DOI_URL!$B$1:$C$74,2,FALSE()))</f>
        <v/>
      </c>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c r="AA733" s="22"/>
      <c r="AB733" s="22"/>
      <c r="AC733" s="22"/>
      <c r="AD733" s="22"/>
      <c r="AE733" s="22"/>
    </row>
    <row r="734">
      <c r="A734" s="22"/>
      <c r="B734" s="22" t="str">
        <f>IF(ISBLANK(A734),"",VLOOKUP(A734,DOI_URL!$B$1:$C$74,2,FALSE()))</f>
        <v/>
      </c>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c r="AA734" s="22"/>
      <c r="AB734" s="22"/>
      <c r="AC734" s="22"/>
      <c r="AD734" s="22"/>
      <c r="AE734" s="22"/>
    </row>
    <row r="735">
      <c r="A735" s="22"/>
      <c r="B735" s="22" t="str">
        <f>IF(ISBLANK(A735),"",VLOOKUP(A735,DOI_URL!$B$1:$C$74,2,FALSE()))</f>
        <v/>
      </c>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c r="AA735" s="22"/>
      <c r="AB735" s="22"/>
      <c r="AC735" s="22"/>
      <c r="AD735" s="22"/>
      <c r="AE735" s="22"/>
    </row>
    <row r="736">
      <c r="A736" s="22"/>
      <c r="B736" s="22" t="str">
        <f>IF(ISBLANK(A736),"",VLOOKUP(A736,DOI_URL!$B$1:$C$74,2,FALSE()))</f>
        <v/>
      </c>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c r="AA736" s="22"/>
      <c r="AB736" s="22"/>
      <c r="AC736" s="22"/>
      <c r="AD736" s="22"/>
      <c r="AE736" s="22"/>
    </row>
    <row r="737">
      <c r="A737" s="22"/>
      <c r="B737" s="22" t="str">
        <f>IF(ISBLANK(A737),"",VLOOKUP(A737,DOI_URL!$B$1:$C$74,2,FALSE()))</f>
        <v/>
      </c>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c r="AA737" s="22"/>
      <c r="AB737" s="22"/>
      <c r="AC737" s="22"/>
      <c r="AD737" s="22"/>
      <c r="AE737" s="22"/>
    </row>
    <row r="738">
      <c r="A738" s="22"/>
      <c r="B738" s="22" t="str">
        <f>IF(ISBLANK(A738),"",VLOOKUP(A738,DOI_URL!$B$1:$C$74,2,FALSE()))</f>
        <v/>
      </c>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c r="AA738" s="22"/>
      <c r="AB738" s="22"/>
      <c r="AC738" s="22"/>
      <c r="AD738" s="22"/>
      <c r="AE738" s="22"/>
    </row>
    <row r="739">
      <c r="A739" s="22"/>
      <c r="B739" s="22" t="str">
        <f>IF(ISBLANK(A739),"",VLOOKUP(A739,DOI_URL!$B$1:$C$74,2,FALSE()))</f>
        <v/>
      </c>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c r="AA739" s="22"/>
      <c r="AB739" s="22"/>
      <c r="AC739" s="22"/>
      <c r="AD739" s="22"/>
      <c r="AE739" s="22"/>
    </row>
    <row r="740">
      <c r="A740" s="22"/>
      <c r="B740" s="22" t="str">
        <f>IF(ISBLANK(A740),"",VLOOKUP(A740,DOI_URL!$B$1:$C$74,2,FALSE()))</f>
        <v/>
      </c>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c r="AA740" s="22"/>
      <c r="AB740" s="22"/>
      <c r="AC740" s="22"/>
      <c r="AD740" s="22"/>
      <c r="AE740" s="22"/>
    </row>
    <row r="741">
      <c r="A741" s="22"/>
      <c r="B741" s="22" t="str">
        <f>IF(ISBLANK(A741),"",VLOOKUP(A741,DOI_URL!$B$1:$C$74,2,FALSE()))</f>
        <v/>
      </c>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c r="AA741" s="22"/>
      <c r="AB741" s="22"/>
      <c r="AC741" s="22"/>
      <c r="AD741" s="22"/>
      <c r="AE741" s="22"/>
    </row>
    <row r="742">
      <c r="A742" s="22"/>
      <c r="B742" s="22" t="str">
        <f>IF(ISBLANK(A742),"",VLOOKUP(A742,DOI_URL!$B$1:$C$74,2,FALSE()))</f>
        <v/>
      </c>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c r="AA742" s="22"/>
      <c r="AB742" s="22"/>
      <c r="AC742" s="22"/>
      <c r="AD742" s="22"/>
      <c r="AE742" s="22"/>
    </row>
    <row r="743">
      <c r="A743" s="22"/>
      <c r="B743" s="22" t="str">
        <f>IF(ISBLANK(A743),"",VLOOKUP(A743,DOI_URL!$B$1:$C$74,2,FALSE()))</f>
        <v/>
      </c>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c r="AA743" s="22"/>
      <c r="AB743" s="22"/>
      <c r="AC743" s="22"/>
      <c r="AD743" s="22"/>
      <c r="AE743" s="22"/>
    </row>
    <row r="744">
      <c r="A744" s="22"/>
      <c r="B744" s="22" t="str">
        <f>IF(ISBLANK(A744),"",VLOOKUP(A744,DOI_URL!$B$1:$C$74,2,FALSE()))</f>
        <v/>
      </c>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c r="AA744" s="22"/>
      <c r="AB744" s="22"/>
      <c r="AC744" s="22"/>
      <c r="AD744" s="22"/>
      <c r="AE744" s="22"/>
    </row>
    <row r="745">
      <c r="A745" s="22"/>
      <c r="B745" s="22" t="str">
        <f>IF(ISBLANK(A745),"",VLOOKUP(A745,DOI_URL!$B$1:$C$74,2,FALSE()))</f>
        <v/>
      </c>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c r="AA745" s="22"/>
      <c r="AB745" s="22"/>
      <c r="AC745" s="22"/>
      <c r="AD745" s="22"/>
      <c r="AE745" s="22"/>
    </row>
    <row r="746">
      <c r="A746" s="22"/>
      <c r="B746" s="22" t="str">
        <f>IF(ISBLANK(A746),"",VLOOKUP(A746,DOI_URL!$B$1:$C$74,2,FALSE()))</f>
        <v/>
      </c>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c r="AA746" s="22"/>
      <c r="AB746" s="22"/>
      <c r="AC746" s="22"/>
      <c r="AD746" s="22"/>
      <c r="AE746" s="22"/>
    </row>
    <row r="747">
      <c r="A747" s="22"/>
      <c r="B747" s="22" t="str">
        <f>IF(ISBLANK(A747),"",VLOOKUP(A747,DOI_URL!$B$1:$C$74,2,FALSE()))</f>
        <v/>
      </c>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c r="AA747" s="22"/>
      <c r="AB747" s="22"/>
      <c r="AC747" s="22"/>
      <c r="AD747" s="22"/>
      <c r="AE747" s="22"/>
    </row>
    <row r="748">
      <c r="A748" s="22"/>
      <c r="B748" s="22" t="str">
        <f>IF(ISBLANK(A748),"",VLOOKUP(A748,DOI_URL!$B$1:$C$74,2,FALSE()))</f>
        <v/>
      </c>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c r="AA748" s="22"/>
      <c r="AB748" s="22"/>
      <c r="AC748" s="22"/>
      <c r="AD748" s="22"/>
      <c r="AE748" s="22"/>
    </row>
    <row r="749">
      <c r="A749" s="22"/>
      <c r="B749" s="22" t="str">
        <f>IF(ISBLANK(A749),"",VLOOKUP(A749,DOI_URL!$B$1:$C$74,2,FALSE()))</f>
        <v/>
      </c>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c r="AA749" s="22"/>
      <c r="AB749" s="22"/>
      <c r="AC749" s="22"/>
      <c r="AD749" s="22"/>
      <c r="AE749" s="22"/>
    </row>
    <row r="750">
      <c r="A750" s="22"/>
      <c r="B750" s="22" t="str">
        <f>IF(ISBLANK(A750),"",VLOOKUP(A750,DOI_URL!$B$1:$C$74,2,FALSE()))</f>
        <v/>
      </c>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row>
    <row r="751">
      <c r="A751" s="22"/>
      <c r="B751" s="22" t="str">
        <f>IF(ISBLANK(A751),"",VLOOKUP(A751,DOI_URL!$B$1:$C$74,2,FALSE()))</f>
        <v/>
      </c>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c r="AA751" s="22"/>
      <c r="AB751" s="22"/>
      <c r="AC751" s="22"/>
      <c r="AD751" s="22"/>
      <c r="AE751" s="22"/>
    </row>
    <row r="752">
      <c r="A752" s="22"/>
      <c r="B752" s="22" t="str">
        <f>IF(ISBLANK(A752),"",VLOOKUP(A752,DOI_URL!$B$1:$C$74,2,FALSE()))</f>
        <v/>
      </c>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c r="AA752" s="22"/>
      <c r="AB752" s="22"/>
      <c r="AC752" s="22"/>
      <c r="AD752" s="22"/>
      <c r="AE752" s="22"/>
    </row>
    <row r="753">
      <c r="A753" s="22"/>
      <c r="B753" s="22" t="str">
        <f>IF(ISBLANK(A753),"",VLOOKUP(A753,DOI_URL!$B$1:$C$74,2,FALSE()))</f>
        <v/>
      </c>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c r="AA753" s="22"/>
      <c r="AB753" s="22"/>
      <c r="AC753" s="22"/>
      <c r="AD753" s="22"/>
      <c r="AE753" s="22"/>
    </row>
    <row r="754">
      <c r="A754" s="22"/>
      <c r="B754" s="22" t="str">
        <f>IF(ISBLANK(A754),"",VLOOKUP(A754,DOI_URL!$B$1:$C$74,2,FALSE()))</f>
        <v/>
      </c>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c r="AA754" s="22"/>
      <c r="AB754" s="22"/>
      <c r="AC754" s="22"/>
      <c r="AD754" s="22"/>
      <c r="AE754" s="22"/>
    </row>
    <row r="755">
      <c r="A755" s="22"/>
      <c r="B755" s="22" t="str">
        <f>IF(ISBLANK(A755),"",VLOOKUP(A755,DOI_URL!$B$1:$C$74,2,FALSE()))</f>
        <v/>
      </c>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c r="AA755" s="22"/>
      <c r="AB755" s="22"/>
      <c r="AC755" s="22"/>
      <c r="AD755" s="22"/>
      <c r="AE755" s="22"/>
    </row>
    <row r="756">
      <c r="A756" s="22"/>
      <c r="B756" s="22" t="str">
        <f>IF(ISBLANK(A756),"",VLOOKUP(A756,DOI_URL!$B$1:$C$74,2,FALSE()))</f>
        <v/>
      </c>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c r="AA756" s="22"/>
      <c r="AB756" s="22"/>
      <c r="AC756" s="22"/>
      <c r="AD756" s="22"/>
      <c r="AE756" s="22"/>
    </row>
    <row r="757">
      <c r="A757" s="22"/>
      <c r="B757" s="22" t="str">
        <f>IF(ISBLANK(A757),"",VLOOKUP(A757,DOI_URL!$B$1:$C$74,2,FALSE()))</f>
        <v/>
      </c>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c r="AA757" s="22"/>
      <c r="AB757" s="22"/>
      <c r="AC757" s="22"/>
      <c r="AD757" s="22"/>
      <c r="AE757" s="22"/>
    </row>
    <row r="758">
      <c r="A758" s="22"/>
      <c r="B758" s="22" t="str">
        <f>IF(ISBLANK(A758),"",VLOOKUP(A758,DOI_URL!$B$1:$C$74,2,FALSE()))</f>
        <v/>
      </c>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c r="AA758" s="22"/>
      <c r="AB758" s="22"/>
      <c r="AC758" s="22"/>
      <c r="AD758" s="22"/>
      <c r="AE758" s="22"/>
    </row>
    <row r="759">
      <c r="A759" s="22"/>
      <c r="B759" s="22" t="str">
        <f>IF(ISBLANK(A759),"",VLOOKUP(A759,DOI_URL!$B$1:$C$74,2,FALSE()))</f>
        <v/>
      </c>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c r="AA759" s="22"/>
      <c r="AB759" s="22"/>
      <c r="AC759" s="22"/>
      <c r="AD759" s="22"/>
      <c r="AE759" s="22"/>
    </row>
    <row r="760">
      <c r="A760" s="22"/>
      <c r="B760" s="22" t="str">
        <f>IF(ISBLANK(A760),"",VLOOKUP(A760,DOI_URL!$B$1:$C$74,2,FALSE()))</f>
        <v/>
      </c>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c r="AA760" s="22"/>
      <c r="AB760" s="22"/>
      <c r="AC760" s="22"/>
      <c r="AD760" s="22"/>
      <c r="AE760" s="22"/>
    </row>
    <row r="761">
      <c r="A761" s="22"/>
      <c r="B761" s="22" t="str">
        <f>IF(ISBLANK(A761),"",VLOOKUP(A761,DOI_URL!$B$1:$C$74,2,FALSE()))</f>
        <v/>
      </c>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c r="AA761" s="22"/>
      <c r="AB761" s="22"/>
      <c r="AC761" s="22"/>
      <c r="AD761" s="22"/>
      <c r="AE761" s="22"/>
    </row>
    <row r="762">
      <c r="A762" s="22"/>
      <c r="B762" s="22" t="str">
        <f>IF(ISBLANK(A762),"",VLOOKUP(A762,DOI_URL!$B$1:$C$74,2,FALSE()))</f>
        <v/>
      </c>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c r="AA762" s="22"/>
      <c r="AB762" s="22"/>
      <c r="AC762" s="22"/>
      <c r="AD762" s="22"/>
      <c r="AE762" s="22"/>
    </row>
    <row r="763">
      <c r="A763" s="22"/>
      <c r="B763" s="22" t="str">
        <f>IF(ISBLANK(A763),"",VLOOKUP(A763,DOI_URL!$B$1:$C$74,2,FALSE()))</f>
        <v/>
      </c>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c r="AA763" s="22"/>
      <c r="AB763" s="22"/>
      <c r="AC763" s="22"/>
      <c r="AD763" s="22"/>
      <c r="AE763" s="22"/>
    </row>
    <row r="764">
      <c r="A764" s="22"/>
      <c r="B764" s="22" t="str">
        <f>IF(ISBLANK(A764),"",VLOOKUP(A764,DOI_URL!$B$1:$C$74,2,FALSE()))</f>
        <v/>
      </c>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c r="AA764" s="22"/>
      <c r="AB764" s="22"/>
      <c r="AC764" s="22"/>
      <c r="AD764" s="22"/>
      <c r="AE764" s="22"/>
    </row>
    <row r="765">
      <c r="A765" s="22"/>
      <c r="B765" s="22" t="str">
        <f>IF(ISBLANK(A765),"",VLOOKUP(A765,DOI_URL!$B$1:$C$74,2,FALSE()))</f>
        <v/>
      </c>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c r="AA765" s="22"/>
      <c r="AB765" s="22"/>
      <c r="AC765" s="22"/>
      <c r="AD765" s="22"/>
      <c r="AE765" s="22"/>
    </row>
    <row r="766">
      <c r="A766" s="22"/>
      <c r="B766" s="22" t="str">
        <f>IF(ISBLANK(A766),"",VLOOKUP(A766,DOI_URL!$B$1:$C$74,2,FALSE()))</f>
        <v/>
      </c>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c r="AA766" s="22"/>
      <c r="AB766" s="22"/>
      <c r="AC766" s="22"/>
      <c r="AD766" s="22"/>
      <c r="AE766" s="22"/>
    </row>
    <row r="767">
      <c r="A767" s="22"/>
      <c r="B767" s="22" t="str">
        <f>IF(ISBLANK(A767),"",VLOOKUP(A767,DOI_URL!$B$1:$C$74,2,FALSE()))</f>
        <v/>
      </c>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c r="AA767" s="22"/>
      <c r="AB767" s="22"/>
      <c r="AC767" s="22"/>
      <c r="AD767" s="22"/>
      <c r="AE767" s="22"/>
    </row>
    <row r="768">
      <c r="A768" s="22"/>
      <c r="B768" s="22" t="str">
        <f>IF(ISBLANK(A768),"",VLOOKUP(A768,DOI_URL!$B$1:$C$74,2,FALSE()))</f>
        <v/>
      </c>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c r="AA768" s="22"/>
      <c r="AB768" s="22"/>
      <c r="AC768" s="22"/>
      <c r="AD768" s="22"/>
      <c r="AE768" s="22"/>
    </row>
    <row r="769">
      <c r="A769" s="22"/>
      <c r="B769" s="22" t="str">
        <f>IF(ISBLANK(A769),"",VLOOKUP(A769,DOI_URL!$B$1:$C$74,2,FALSE()))</f>
        <v/>
      </c>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c r="AA769" s="22"/>
      <c r="AB769" s="22"/>
      <c r="AC769" s="22"/>
      <c r="AD769" s="22"/>
      <c r="AE769" s="22"/>
    </row>
    <row r="770">
      <c r="A770" s="22"/>
      <c r="B770" s="22" t="str">
        <f>IF(ISBLANK(A770),"",VLOOKUP(A770,DOI_URL!$B$1:$C$74,2,FALSE()))</f>
        <v/>
      </c>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c r="AA770" s="22"/>
      <c r="AB770" s="22"/>
      <c r="AC770" s="22"/>
      <c r="AD770" s="22"/>
      <c r="AE770" s="22"/>
    </row>
    <row r="771">
      <c r="A771" s="22"/>
      <c r="B771" s="22" t="str">
        <f>IF(ISBLANK(A771),"",VLOOKUP(A771,DOI_URL!$B$1:$C$74,2,FALSE()))</f>
        <v/>
      </c>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c r="AA771" s="22"/>
      <c r="AB771" s="22"/>
      <c r="AC771" s="22"/>
      <c r="AD771" s="22"/>
      <c r="AE771" s="22"/>
    </row>
    <row r="772">
      <c r="A772" s="22"/>
      <c r="B772" s="22" t="str">
        <f>IF(ISBLANK(A772),"",VLOOKUP(A772,DOI_URL!$B$1:$C$74,2,FALSE()))</f>
        <v/>
      </c>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c r="AA772" s="22"/>
      <c r="AB772" s="22"/>
      <c r="AC772" s="22"/>
      <c r="AD772" s="22"/>
      <c r="AE772" s="22"/>
    </row>
    <row r="773">
      <c r="A773" s="22"/>
      <c r="B773" s="22" t="str">
        <f>IF(ISBLANK(A773),"",VLOOKUP(A773,DOI_URL!$B$1:$C$74,2,FALSE()))</f>
        <v/>
      </c>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c r="AA773" s="22"/>
      <c r="AB773" s="22"/>
      <c r="AC773" s="22"/>
      <c r="AD773" s="22"/>
      <c r="AE773" s="22"/>
    </row>
    <row r="774">
      <c r="A774" s="22"/>
      <c r="B774" s="22" t="str">
        <f>IF(ISBLANK(A774),"",VLOOKUP(A774,DOI_URL!$B$1:$C$74,2,FALSE()))</f>
        <v/>
      </c>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c r="AA774" s="22"/>
      <c r="AB774" s="22"/>
      <c r="AC774" s="22"/>
      <c r="AD774" s="22"/>
      <c r="AE774" s="22"/>
    </row>
    <row r="775">
      <c r="A775" s="22"/>
      <c r="B775" s="22" t="str">
        <f>IF(ISBLANK(A775),"",VLOOKUP(A775,DOI_URL!$B$1:$C$74,2,FALSE()))</f>
        <v/>
      </c>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c r="AD775" s="22"/>
      <c r="AE775" s="22"/>
    </row>
    <row r="776">
      <c r="A776" s="22"/>
      <c r="B776" s="22" t="str">
        <f>IF(ISBLANK(A776),"",VLOOKUP(A776,DOI_URL!$B$1:$C$74,2,FALSE()))</f>
        <v/>
      </c>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c r="AA776" s="22"/>
      <c r="AB776" s="22"/>
      <c r="AC776" s="22"/>
      <c r="AD776" s="22"/>
      <c r="AE776" s="22"/>
    </row>
    <row r="777">
      <c r="A777" s="22"/>
      <c r="B777" s="22" t="str">
        <f>IF(ISBLANK(A777),"",VLOOKUP(A777,DOI_URL!$B$1:$C$74,2,FALSE()))</f>
        <v/>
      </c>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c r="AA777" s="22"/>
      <c r="AB777" s="22"/>
      <c r="AC777" s="22"/>
      <c r="AD777" s="22"/>
      <c r="AE777" s="22"/>
    </row>
    <row r="778">
      <c r="A778" s="22"/>
      <c r="B778" s="22" t="str">
        <f>IF(ISBLANK(A778),"",VLOOKUP(A778,DOI_URL!$B$1:$C$74,2,FALSE()))</f>
        <v/>
      </c>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c r="AA778" s="22"/>
      <c r="AB778" s="22"/>
      <c r="AC778" s="22"/>
      <c r="AD778" s="22"/>
      <c r="AE778" s="22"/>
    </row>
    <row r="779">
      <c r="A779" s="22"/>
      <c r="B779" s="22" t="str">
        <f>IF(ISBLANK(A779),"",VLOOKUP(A779,DOI_URL!$B$1:$C$74,2,FALSE()))</f>
        <v/>
      </c>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c r="AA779" s="22"/>
      <c r="AB779" s="22"/>
      <c r="AC779" s="22"/>
      <c r="AD779" s="22"/>
      <c r="AE779" s="22"/>
    </row>
    <row r="780">
      <c r="A780" s="22"/>
      <c r="B780" s="22" t="str">
        <f>IF(ISBLANK(A780),"",VLOOKUP(A780,DOI_URL!$B$1:$C$74,2,FALSE()))</f>
        <v/>
      </c>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c r="AA780" s="22"/>
      <c r="AB780" s="22"/>
      <c r="AC780" s="22"/>
      <c r="AD780" s="22"/>
      <c r="AE780" s="22"/>
    </row>
    <row r="781">
      <c r="A781" s="22"/>
      <c r="B781" s="22" t="str">
        <f>IF(ISBLANK(A781),"",VLOOKUP(A781,DOI_URL!$B$1:$C$74,2,FALSE()))</f>
        <v/>
      </c>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c r="AA781" s="22"/>
      <c r="AB781" s="22"/>
      <c r="AC781" s="22"/>
      <c r="AD781" s="22"/>
      <c r="AE781" s="22"/>
    </row>
    <row r="782">
      <c r="A782" s="22"/>
      <c r="B782" s="22" t="str">
        <f>IF(ISBLANK(A782),"",VLOOKUP(A782,DOI_URL!$B$1:$C$74,2,FALSE()))</f>
        <v/>
      </c>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c r="AA782" s="22"/>
      <c r="AB782" s="22"/>
      <c r="AC782" s="22"/>
      <c r="AD782" s="22"/>
      <c r="AE782" s="22"/>
    </row>
    <row r="783">
      <c r="A783" s="22"/>
      <c r="B783" s="22" t="str">
        <f>IF(ISBLANK(A783),"",VLOOKUP(A783,DOI_URL!$B$1:$C$74,2,FALSE()))</f>
        <v/>
      </c>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c r="AA783" s="22"/>
      <c r="AB783" s="22"/>
      <c r="AC783" s="22"/>
      <c r="AD783" s="22"/>
      <c r="AE783" s="22"/>
    </row>
    <row r="784">
      <c r="A784" s="22"/>
      <c r="B784" s="22" t="str">
        <f>IF(ISBLANK(A784),"",VLOOKUP(A784,DOI_URL!$B$1:$C$74,2,FALSE()))</f>
        <v/>
      </c>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c r="AA784" s="22"/>
      <c r="AB784" s="22"/>
      <c r="AC784" s="22"/>
      <c r="AD784" s="22"/>
      <c r="AE784" s="22"/>
    </row>
    <row r="785">
      <c r="A785" s="22"/>
      <c r="B785" s="22" t="str">
        <f>IF(ISBLANK(A785),"",VLOOKUP(A785,DOI_URL!$B$1:$C$74,2,FALSE()))</f>
        <v/>
      </c>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c r="AA785" s="22"/>
      <c r="AB785" s="22"/>
      <c r="AC785" s="22"/>
      <c r="AD785" s="22"/>
      <c r="AE785" s="22"/>
    </row>
    <row r="786">
      <c r="A786" s="22"/>
      <c r="B786" s="22" t="str">
        <f>IF(ISBLANK(A786),"",VLOOKUP(A786,DOI_URL!$B$1:$C$74,2,FALSE()))</f>
        <v/>
      </c>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c r="AA786" s="22"/>
      <c r="AB786" s="22"/>
      <c r="AC786" s="22"/>
      <c r="AD786" s="22"/>
      <c r="AE786" s="22"/>
    </row>
    <row r="787">
      <c r="A787" s="22"/>
      <c r="B787" s="22" t="str">
        <f>IF(ISBLANK(A787),"",VLOOKUP(A787,DOI_URL!$B$1:$C$74,2,FALSE()))</f>
        <v/>
      </c>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c r="AA787" s="22"/>
      <c r="AB787" s="22"/>
      <c r="AC787" s="22"/>
      <c r="AD787" s="22"/>
      <c r="AE787" s="22"/>
    </row>
    <row r="788">
      <c r="A788" s="22"/>
      <c r="B788" s="22" t="str">
        <f>IF(ISBLANK(A788),"",VLOOKUP(A788,DOI_URL!$B$1:$C$74,2,FALSE()))</f>
        <v/>
      </c>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c r="AA788" s="22"/>
      <c r="AB788" s="22"/>
      <c r="AC788" s="22"/>
      <c r="AD788" s="22"/>
      <c r="AE788" s="22"/>
    </row>
    <row r="789">
      <c r="A789" s="22"/>
      <c r="B789" s="22" t="str">
        <f>IF(ISBLANK(A789),"",VLOOKUP(A789,DOI_URL!$B$1:$C$74,2,FALSE()))</f>
        <v/>
      </c>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c r="AA789" s="22"/>
      <c r="AB789" s="22"/>
      <c r="AC789" s="22"/>
      <c r="AD789" s="22"/>
      <c r="AE789" s="22"/>
    </row>
    <row r="790">
      <c r="A790" s="22"/>
      <c r="B790" s="22" t="str">
        <f>IF(ISBLANK(A790),"",VLOOKUP(A790,DOI_URL!$B$1:$C$74,2,FALSE()))</f>
        <v/>
      </c>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c r="AA790" s="22"/>
      <c r="AB790" s="22"/>
      <c r="AC790" s="22"/>
      <c r="AD790" s="22"/>
      <c r="AE790" s="22"/>
    </row>
    <row r="791">
      <c r="A791" s="22"/>
      <c r="B791" s="22" t="str">
        <f>IF(ISBLANK(A791),"",VLOOKUP(A791,DOI_URL!$B$1:$C$74,2,FALSE()))</f>
        <v/>
      </c>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c r="AA791" s="22"/>
      <c r="AB791" s="22"/>
      <c r="AC791" s="22"/>
      <c r="AD791" s="22"/>
      <c r="AE791" s="22"/>
    </row>
    <row r="792">
      <c r="A792" s="22"/>
      <c r="B792" s="22" t="str">
        <f>IF(ISBLANK(A792),"",VLOOKUP(A792,DOI_URL!$B$1:$C$74,2,FALSE()))</f>
        <v/>
      </c>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c r="AA792" s="22"/>
      <c r="AB792" s="22"/>
      <c r="AC792" s="22"/>
      <c r="AD792" s="22"/>
      <c r="AE792" s="22"/>
    </row>
    <row r="793">
      <c r="A793" s="22"/>
      <c r="B793" s="22" t="str">
        <f>IF(ISBLANK(A793),"",VLOOKUP(A793,DOI_URL!$B$1:$C$74,2,FALSE()))</f>
        <v/>
      </c>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c r="AA793" s="22"/>
      <c r="AB793" s="22"/>
      <c r="AC793" s="22"/>
      <c r="AD793" s="22"/>
      <c r="AE793" s="22"/>
    </row>
    <row r="794">
      <c r="A794" s="22"/>
      <c r="B794" s="22" t="str">
        <f>IF(ISBLANK(A794),"",VLOOKUP(A794,DOI_URL!$B$1:$C$74,2,FALSE()))</f>
        <v/>
      </c>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c r="AA794" s="22"/>
      <c r="AB794" s="22"/>
      <c r="AC794" s="22"/>
      <c r="AD794" s="22"/>
      <c r="AE794" s="22"/>
    </row>
    <row r="795">
      <c r="A795" s="22"/>
      <c r="B795" s="22" t="str">
        <f>IF(ISBLANK(A795),"",VLOOKUP(A795,DOI_URL!$B$1:$C$74,2,FALSE()))</f>
        <v/>
      </c>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c r="AA795" s="22"/>
      <c r="AB795" s="22"/>
      <c r="AC795" s="22"/>
      <c r="AD795" s="22"/>
      <c r="AE795" s="22"/>
    </row>
    <row r="796">
      <c r="A796" s="22"/>
      <c r="B796" s="22" t="str">
        <f>IF(ISBLANK(A796),"",VLOOKUP(A796,DOI_URL!$B$1:$C$74,2,FALSE()))</f>
        <v/>
      </c>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c r="AA796" s="22"/>
      <c r="AB796" s="22"/>
      <c r="AC796" s="22"/>
      <c r="AD796" s="22"/>
      <c r="AE796" s="22"/>
    </row>
    <row r="797">
      <c r="A797" s="22"/>
      <c r="B797" s="22" t="str">
        <f>IF(ISBLANK(A797),"",VLOOKUP(A797,DOI_URL!$B$1:$C$74,2,FALSE()))</f>
        <v/>
      </c>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c r="AA797" s="22"/>
      <c r="AB797" s="22"/>
      <c r="AC797" s="22"/>
      <c r="AD797" s="22"/>
      <c r="AE797" s="22"/>
    </row>
    <row r="798">
      <c r="A798" s="22"/>
      <c r="B798" s="22" t="str">
        <f>IF(ISBLANK(A798),"",VLOOKUP(A798,DOI_URL!$B$1:$C$74,2,FALSE()))</f>
        <v/>
      </c>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c r="AA798" s="22"/>
      <c r="AB798" s="22"/>
      <c r="AC798" s="22"/>
      <c r="AD798" s="22"/>
      <c r="AE798" s="22"/>
    </row>
    <row r="799">
      <c r="A799" s="22"/>
      <c r="B799" s="22" t="str">
        <f>IF(ISBLANK(A799),"",VLOOKUP(A799,DOI_URL!$B$1:$C$74,2,FALSE()))</f>
        <v/>
      </c>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c r="AA799" s="22"/>
      <c r="AB799" s="22"/>
      <c r="AC799" s="22"/>
      <c r="AD799" s="22"/>
      <c r="AE799" s="22"/>
    </row>
    <row r="800">
      <c r="A800" s="22"/>
      <c r="B800" s="22" t="str">
        <f>IF(ISBLANK(A800),"",VLOOKUP(A800,DOI_URL!$B$1:$C$74,2,FALSE()))</f>
        <v/>
      </c>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c r="AA800" s="22"/>
      <c r="AB800" s="22"/>
      <c r="AC800" s="22"/>
      <c r="AD800" s="22"/>
      <c r="AE800" s="22"/>
    </row>
    <row r="801">
      <c r="A801" s="22"/>
      <c r="B801" s="22" t="str">
        <f>IF(ISBLANK(A801),"",VLOOKUP(A801,DOI_URL!$B$1:$C$74,2,FALSE()))</f>
        <v/>
      </c>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c r="AA801" s="22"/>
      <c r="AB801" s="22"/>
      <c r="AC801" s="22"/>
      <c r="AD801" s="22"/>
      <c r="AE801" s="22"/>
    </row>
    <row r="802">
      <c r="A802" s="22"/>
      <c r="B802" s="22" t="str">
        <f>IF(ISBLANK(A802),"",VLOOKUP(A802,DOI_URL!$B$1:$C$74,2,FALSE()))</f>
        <v/>
      </c>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c r="AA802" s="22"/>
      <c r="AB802" s="22"/>
      <c r="AC802" s="22"/>
      <c r="AD802" s="22"/>
      <c r="AE802" s="22"/>
    </row>
    <row r="803">
      <c r="A803" s="22"/>
      <c r="B803" s="22" t="str">
        <f>IF(ISBLANK(A803),"",VLOOKUP(A803,DOI_URL!$B$1:$C$74,2,FALSE()))</f>
        <v/>
      </c>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c r="AA803" s="22"/>
      <c r="AB803" s="22"/>
      <c r="AC803" s="22"/>
      <c r="AD803" s="22"/>
      <c r="AE803" s="22"/>
    </row>
    <row r="804">
      <c r="A804" s="22"/>
      <c r="B804" s="22" t="str">
        <f>IF(ISBLANK(A804),"",VLOOKUP(A804,DOI_URL!$B$1:$C$74,2,FALSE()))</f>
        <v/>
      </c>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c r="AA804" s="22"/>
      <c r="AB804" s="22"/>
      <c r="AC804" s="22"/>
      <c r="AD804" s="22"/>
      <c r="AE804" s="22"/>
    </row>
    <row r="805">
      <c r="A805" s="22"/>
      <c r="B805" s="22" t="str">
        <f>IF(ISBLANK(A805),"",VLOOKUP(A805,DOI_URL!$B$1:$C$74,2,FALSE()))</f>
        <v/>
      </c>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c r="AA805" s="22"/>
      <c r="AB805" s="22"/>
      <c r="AC805" s="22"/>
      <c r="AD805" s="22"/>
      <c r="AE805" s="22"/>
    </row>
    <row r="806">
      <c r="A806" s="22"/>
      <c r="B806" s="22" t="str">
        <f>IF(ISBLANK(A806),"",VLOOKUP(A806,DOI_URL!$B$1:$C$74,2,FALSE()))</f>
        <v/>
      </c>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c r="AA806" s="22"/>
      <c r="AB806" s="22"/>
      <c r="AC806" s="22"/>
      <c r="AD806" s="22"/>
      <c r="AE806" s="22"/>
    </row>
    <row r="807">
      <c r="A807" s="22"/>
      <c r="B807" s="22" t="str">
        <f>IF(ISBLANK(A807),"",VLOOKUP(A807,DOI_URL!$B$1:$C$74,2,FALSE()))</f>
        <v/>
      </c>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c r="AA807" s="22"/>
      <c r="AB807" s="22"/>
      <c r="AC807" s="22"/>
      <c r="AD807" s="22"/>
      <c r="AE807" s="22"/>
    </row>
    <row r="808">
      <c r="A808" s="22"/>
      <c r="B808" s="22" t="str">
        <f>IF(ISBLANK(A808),"",VLOOKUP(A808,DOI_URL!$B$1:$C$74,2,FALSE()))</f>
        <v/>
      </c>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c r="AA808" s="22"/>
      <c r="AB808" s="22"/>
      <c r="AC808" s="22"/>
      <c r="AD808" s="22"/>
      <c r="AE808" s="22"/>
    </row>
    <row r="809">
      <c r="A809" s="22"/>
      <c r="B809" s="22" t="str">
        <f>IF(ISBLANK(A809),"",VLOOKUP(A809,DOI_URL!$B$1:$C$74,2,FALSE()))</f>
        <v/>
      </c>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c r="AA809" s="22"/>
      <c r="AB809" s="22"/>
      <c r="AC809" s="22"/>
      <c r="AD809" s="22"/>
      <c r="AE809" s="22"/>
    </row>
    <row r="810">
      <c r="A810" s="22"/>
      <c r="B810" s="22" t="str">
        <f>IF(ISBLANK(A810),"",VLOOKUP(A810,DOI_URL!$B$1:$C$74,2,FALSE()))</f>
        <v/>
      </c>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c r="AA810" s="22"/>
      <c r="AB810" s="22"/>
      <c r="AC810" s="22"/>
      <c r="AD810" s="22"/>
      <c r="AE810" s="22"/>
    </row>
    <row r="811">
      <c r="A811" s="22"/>
      <c r="B811" s="22" t="str">
        <f>IF(ISBLANK(A811),"",VLOOKUP(A811,DOI_URL!$B$1:$C$74,2,FALSE()))</f>
        <v/>
      </c>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c r="AA811" s="22"/>
      <c r="AB811" s="22"/>
      <c r="AC811" s="22"/>
      <c r="AD811" s="22"/>
      <c r="AE811" s="22"/>
    </row>
    <row r="812">
      <c r="A812" s="22"/>
      <c r="B812" s="22" t="str">
        <f>IF(ISBLANK(A812),"",VLOOKUP(A812,DOI_URL!$B$1:$C$74,2,FALSE()))</f>
        <v/>
      </c>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c r="AA812" s="22"/>
      <c r="AB812" s="22"/>
      <c r="AC812" s="22"/>
      <c r="AD812" s="22"/>
      <c r="AE812" s="22"/>
    </row>
    <row r="813">
      <c r="A813" s="22"/>
      <c r="B813" s="22" t="str">
        <f>IF(ISBLANK(A813),"",VLOOKUP(A813,DOI_URL!$B$1:$C$74,2,FALSE()))</f>
        <v/>
      </c>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c r="AA813" s="22"/>
      <c r="AB813" s="22"/>
      <c r="AC813" s="22"/>
      <c r="AD813" s="22"/>
      <c r="AE813" s="22"/>
    </row>
    <row r="814">
      <c r="A814" s="22"/>
      <c r="B814" s="22" t="str">
        <f>IF(ISBLANK(A814),"",VLOOKUP(A814,DOI_URL!$B$1:$C$74,2,FALSE()))</f>
        <v/>
      </c>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c r="AA814" s="22"/>
      <c r="AB814" s="22"/>
      <c r="AC814" s="22"/>
      <c r="AD814" s="22"/>
      <c r="AE814" s="22"/>
    </row>
    <row r="815">
      <c r="A815" s="22"/>
      <c r="B815" s="22" t="str">
        <f>IF(ISBLANK(A815),"",VLOOKUP(A815,DOI_URL!$B$1:$C$74,2,FALSE()))</f>
        <v/>
      </c>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c r="AA815" s="22"/>
      <c r="AB815" s="22"/>
      <c r="AC815" s="22"/>
      <c r="AD815" s="22"/>
      <c r="AE815" s="22"/>
    </row>
    <row r="816">
      <c r="A816" s="22"/>
      <c r="B816" s="22" t="str">
        <f>IF(ISBLANK(A816),"",VLOOKUP(A816,DOI_URL!$B$1:$C$74,2,FALSE()))</f>
        <v/>
      </c>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c r="AA816" s="22"/>
      <c r="AB816" s="22"/>
      <c r="AC816" s="22"/>
      <c r="AD816" s="22"/>
      <c r="AE816" s="22"/>
    </row>
    <row r="817">
      <c r="A817" s="22"/>
      <c r="B817" s="22" t="str">
        <f>IF(ISBLANK(A817),"",VLOOKUP(A817,DOI_URL!$B$1:$C$74,2,FALSE()))</f>
        <v/>
      </c>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c r="AA817" s="22"/>
      <c r="AB817" s="22"/>
      <c r="AC817" s="22"/>
      <c r="AD817" s="22"/>
      <c r="AE817" s="22"/>
    </row>
    <row r="818">
      <c r="A818" s="22"/>
      <c r="B818" s="22" t="str">
        <f>IF(ISBLANK(A818),"",VLOOKUP(A818,DOI_URL!$B$1:$C$74,2,FALSE()))</f>
        <v/>
      </c>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c r="AA818" s="22"/>
      <c r="AB818" s="22"/>
      <c r="AC818" s="22"/>
      <c r="AD818" s="22"/>
      <c r="AE818" s="22"/>
    </row>
    <row r="819">
      <c r="A819" s="22"/>
      <c r="B819" s="22" t="str">
        <f>IF(ISBLANK(A819),"",VLOOKUP(A819,DOI_URL!$B$1:$C$74,2,FALSE()))</f>
        <v/>
      </c>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c r="AA819" s="22"/>
      <c r="AB819" s="22"/>
      <c r="AC819" s="22"/>
      <c r="AD819" s="22"/>
      <c r="AE819" s="22"/>
    </row>
    <row r="820">
      <c r="A820" s="22"/>
      <c r="B820" s="22" t="str">
        <f>IF(ISBLANK(A820),"",VLOOKUP(A820,DOI_URL!$B$1:$C$74,2,FALSE()))</f>
        <v/>
      </c>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c r="AA820" s="22"/>
      <c r="AB820" s="22"/>
      <c r="AC820" s="22"/>
      <c r="AD820" s="22"/>
      <c r="AE820" s="22"/>
    </row>
    <row r="821">
      <c r="A821" s="22"/>
      <c r="B821" s="22" t="str">
        <f>IF(ISBLANK(A821),"",VLOOKUP(A821,DOI_URL!$B$1:$C$74,2,FALSE()))</f>
        <v/>
      </c>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c r="AA821" s="22"/>
      <c r="AB821" s="22"/>
      <c r="AC821" s="22"/>
      <c r="AD821" s="22"/>
      <c r="AE821" s="22"/>
    </row>
    <row r="822">
      <c r="A822" s="22"/>
      <c r="B822" s="22" t="str">
        <f>IF(ISBLANK(A822),"",VLOOKUP(A822,DOI_URL!$B$1:$C$74,2,FALSE()))</f>
        <v/>
      </c>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c r="AA822" s="22"/>
      <c r="AB822" s="22"/>
      <c r="AC822" s="22"/>
      <c r="AD822" s="22"/>
      <c r="AE822" s="22"/>
    </row>
    <row r="823">
      <c r="A823" s="22"/>
      <c r="B823" s="22" t="str">
        <f>IF(ISBLANK(A823),"",VLOOKUP(A823,DOI_URL!$B$1:$C$74,2,FALSE()))</f>
        <v/>
      </c>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c r="AA823" s="22"/>
      <c r="AB823" s="22"/>
      <c r="AC823" s="22"/>
      <c r="AD823" s="22"/>
      <c r="AE823" s="22"/>
    </row>
    <row r="824">
      <c r="A824" s="22"/>
      <c r="B824" s="22" t="str">
        <f>IF(ISBLANK(A824),"",VLOOKUP(A824,DOI_URL!$B$1:$C$74,2,FALSE()))</f>
        <v/>
      </c>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c r="AA824" s="22"/>
      <c r="AB824" s="22"/>
      <c r="AC824" s="22"/>
      <c r="AD824" s="22"/>
      <c r="AE824" s="22"/>
    </row>
    <row r="825">
      <c r="A825" s="22"/>
      <c r="B825" s="22" t="str">
        <f>IF(ISBLANK(A825),"",VLOOKUP(A825,DOI_URL!$B$1:$C$74,2,FALSE()))</f>
        <v/>
      </c>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c r="AA825" s="22"/>
      <c r="AB825" s="22"/>
      <c r="AC825" s="22"/>
      <c r="AD825" s="22"/>
      <c r="AE825" s="22"/>
    </row>
    <row r="826">
      <c r="A826" s="22"/>
      <c r="B826" s="22" t="str">
        <f>IF(ISBLANK(A826),"",VLOOKUP(A826,DOI_URL!$B$1:$C$74,2,FALSE()))</f>
        <v/>
      </c>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c r="AA826" s="22"/>
      <c r="AB826" s="22"/>
      <c r="AC826" s="22"/>
      <c r="AD826" s="22"/>
      <c r="AE826" s="22"/>
    </row>
    <row r="827">
      <c r="A827" s="22"/>
      <c r="B827" s="22" t="str">
        <f>IF(ISBLANK(A827),"",VLOOKUP(A827,DOI_URL!$B$1:$C$74,2,FALSE()))</f>
        <v/>
      </c>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c r="AA827" s="22"/>
      <c r="AB827" s="22"/>
      <c r="AC827" s="22"/>
      <c r="AD827" s="22"/>
      <c r="AE827" s="22"/>
    </row>
    <row r="828">
      <c r="A828" s="22"/>
      <c r="B828" s="22" t="str">
        <f>IF(ISBLANK(A828),"",VLOOKUP(A828,DOI_URL!$B$1:$C$74,2,FALSE()))</f>
        <v/>
      </c>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c r="AA828" s="22"/>
      <c r="AB828" s="22"/>
      <c r="AC828" s="22"/>
      <c r="AD828" s="22"/>
      <c r="AE828" s="22"/>
    </row>
    <row r="829">
      <c r="A829" s="22"/>
      <c r="B829" s="22" t="str">
        <f>IF(ISBLANK(A829),"",VLOOKUP(A829,DOI_URL!$B$1:$C$74,2,FALSE()))</f>
        <v/>
      </c>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c r="AA829" s="22"/>
      <c r="AB829" s="22"/>
      <c r="AC829" s="22"/>
      <c r="AD829" s="22"/>
      <c r="AE829" s="22"/>
    </row>
    <row r="830">
      <c r="A830" s="22"/>
      <c r="B830" s="22" t="str">
        <f>IF(ISBLANK(A830),"",VLOOKUP(A830,DOI_URL!$B$1:$C$74,2,FALSE()))</f>
        <v/>
      </c>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c r="AA830" s="22"/>
      <c r="AB830" s="22"/>
      <c r="AC830" s="22"/>
      <c r="AD830" s="22"/>
      <c r="AE830" s="22"/>
    </row>
    <row r="831">
      <c r="A831" s="22"/>
      <c r="B831" s="22" t="str">
        <f>IF(ISBLANK(A831),"",VLOOKUP(A831,DOI_URL!$B$1:$C$74,2,FALSE()))</f>
        <v/>
      </c>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c r="AA831" s="22"/>
      <c r="AB831" s="22"/>
      <c r="AC831" s="22"/>
      <c r="AD831" s="22"/>
      <c r="AE831" s="22"/>
    </row>
    <row r="832">
      <c r="A832" s="22"/>
      <c r="B832" s="22" t="str">
        <f>IF(ISBLANK(A832),"",VLOOKUP(A832,DOI_URL!$B$1:$C$74,2,FALSE()))</f>
        <v/>
      </c>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c r="AA832" s="22"/>
      <c r="AB832" s="22"/>
      <c r="AC832" s="22"/>
      <c r="AD832" s="22"/>
      <c r="AE832" s="22"/>
    </row>
    <row r="833">
      <c r="A833" s="22"/>
      <c r="B833" s="22" t="str">
        <f>IF(ISBLANK(A833),"",VLOOKUP(A833,DOI_URL!$B$1:$C$74,2,FALSE()))</f>
        <v/>
      </c>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c r="AA833" s="22"/>
      <c r="AB833" s="22"/>
      <c r="AC833" s="22"/>
      <c r="AD833" s="22"/>
      <c r="AE833" s="22"/>
    </row>
    <row r="834">
      <c r="A834" s="22"/>
      <c r="B834" s="22" t="str">
        <f>IF(ISBLANK(A834),"",VLOOKUP(A834,DOI_URL!$B$1:$C$74,2,FALSE()))</f>
        <v/>
      </c>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c r="AA834" s="22"/>
      <c r="AB834" s="22"/>
      <c r="AC834" s="22"/>
      <c r="AD834" s="22"/>
      <c r="AE834" s="22"/>
    </row>
    <row r="835">
      <c r="A835" s="22"/>
      <c r="B835" s="22" t="str">
        <f>IF(ISBLANK(A835),"",VLOOKUP(A835,DOI_URL!$B$1:$C$74,2,FALSE()))</f>
        <v/>
      </c>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c r="AA835" s="22"/>
      <c r="AB835" s="22"/>
      <c r="AC835" s="22"/>
      <c r="AD835" s="22"/>
      <c r="AE835" s="22"/>
    </row>
    <row r="836">
      <c r="A836" s="22"/>
      <c r="B836" s="22" t="str">
        <f>IF(ISBLANK(A836),"",VLOOKUP(A836,DOI_URL!$B$1:$C$74,2,FALSE()))</f>
        <v/>
      </c>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c r="AA836" s="22"/>
      <c r="AB836" s="22"/>
      <c r="AC836" s="22"/>
      <c r="AD836" s="22"/>
      <c r="AE836" s="22"/>
    </row>
    <row r="837">
      <c r="A837" s="22"/>
      <c r="B837" s="22" t="str">
        <f>IF(ISBLANK(A837),"",VLOOKUP(A837,DOI_URL!$B$1:$C$74,2,FALSE()))</f>
        <v/>
      </c>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c r="AA837" s="22"/>
      <c r="AB837" s="22"/>
      <c r="AC837" s="22"/>
      <c r="AD837" s="22"/>
      <c r="AE837" s="22"/>
    </row>
    <row r="838">
      <c r="A838" s="22"/>
      <c r="B838" s="22" t="str">
        <f>IF(ISBLANK(A838),"",VLOOKUP(A838,DOI_URL!$B$1:$C$74,2,FALSE()))</f>
        <v/>
      </c>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c r="AA838" s="22"/>
      <c r="AB838" s="22"/>
      <c r="AC838" s="22"/>
      <c r="AD838" s="22"/>
      <c r="AE838" s="22"/>
    </row>
    <row r="839">
      <c r="A839" s="22"/>
      <c r="B839" s="22" t="str">
        <f>IF(ISBLANK(A839),"",VLOOKUP(A839,DOI_URL!$B$1:$C$74,2,FALSE()))</f>
        <v/>
      </c>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c r="AA839" s="22"/>
      <c r="AB839" s="22"/>
      <c r="AC839" s="22"/>
      <c r="AD839" s="22"/>
      <c r="AE839" s="22"/>
    </row>
    <row r="840">
      <c r="A840" s="22"/>
      <c r="B840" s="22" t="str">
        <f>IF(ISBLANK(A840),"",VLOOKUP(A840,DOI_URL!$B$1:$C$74,2,FALSE()))</f>
        <v/>
      </c>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c r="AA840" s="22"/>
      <c r="AB840" s="22"/>
      <c r="AC840" s="22"/>
      <c r="AD840" s="22"/>
      <c r="AE840" s="22"/>
    </row>
    <row r="841">
      <c r="A841" s="22"/>
      <c r="B841" s="22" t="str">
        <f>IF(ISBLANK(A841),"",VLOOKUP(A841,DOI_URL!$B$1:$C$74,2,FALSE()))</f>
        <v/>
      </c>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c r="AA841" s="22"/>
      <c r="AB841" s="22"/>
      <c r="AC841" s="22"/>
      <c r="AD841" s="22"/>
      <c r="AE841" s="22"/>
    </row>
    <row r="842">
      <c r="A842" s="22"/>
      <c r="B842" s="22" t="str">
        <f>IF(ISBLANK(A842),"",VLOOKUP(A842,DOI_URL!$B$1:$C$74,2,FALSE()))</f>
        <v/>
      </c>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c r="AA842" s="22"/>
      <c r="AB842" s="22"/>
      <c r="AC842" s="22"/>
      <c r="AD842" s="22"/>
      <c r="AE842" s="22"/>
    </row>
    <row r="843">
      <c r="A843" s="22"/>
      <c r="B843" s="22" t="str">
        <f>IF(ISBLANK(A843),"",VLOOKUP(A843,DOI_URL!$B$1:$C$74,2,FALSE()))</f>
        <v/>
      </c>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c r="AA843" s="22"/>
      <c r="AB843" s="22"/>
      <c r="AC843" s="22"/>
      <c r="AD843" s="22"/>
      <c r="AE843" s="22"/>
    </row>
    <row r="844">
      <c r="A844" s="22"/>
      <c r="B844" s="22" t="str">
        <f>IF(ISBLANK(A844),"",VLOOKUP(A844,DOI_URL!$B$1:$C$74,2,FALSE()))</f>
        <v/>
      </c>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c r="AA844" s="22"/>
      <c r="AB844" s="22"/>
      <c r="AC844" s="22"/>
      <c r="AD844" s="22"/>
      <c r="AE844" s="22"/>
    </row>
    <row r="845">
      <c r="A845" s="22"/>
      <c r="B845" s="22" t="str">
        <f>IF(ISBLANK(A845),"",VLOOKUP(A845,DOI_URL!$B$1:$C$74,2,FALSE()))</f>
        <v/>
      </c>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c r="AA845" s="22"/>
      <c r="AB845" s="22"/>
      <c r="AC845" s="22"/>
      <c r="AD845" s="22"/>
      <c r="AE845" s="22"/>
    </row>
    <row r="846">
      <c r="A846" s="22"/>
      <c r="B846" s="22" t="str">
        <f>IF(ISBLANK(A846),"",VLOOKUP(A846,DOI_URL!$B$1:$C$74,2,FALSE()))</f>
        <v/>
      </c>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c r="AA846" s="22"/>
      <c r="AB846" s="22"/>
      <c r="AC846" s="22"/>
      <c r="AD846" s="22"/>
      <c r="AE846" s="22"/>
    </row>
    <row r="847">
      <c r="A847" s="22"/>
      <c r="B847" s="22" t="str">
        <f>IF(ISBLANK(A847),"",VLOOKUP(A847,DOI_URL!$B$1:$C$74,2,FALSE()))</f>
        <v/>
      </c>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c r="AA847" s="22"/>
      <c r="AB847" s="22"/>
      <c r="AC847" s="22"/>
      <c r="AD847" s="22"/>
      <c r="AE847" s="22"/>
    </row>
    <row r="848">
      <c r="A848" s="22"/>
      <c r="B848" s="22" t="str">
        <f>IF(ISBLANK(A848),"",VLOOKUP(A848,DOI_URL!$B$1:$C$74,2,FALSE()))</f>
        <v/>
      </c>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c r="AA848" s="22"/>
      <c r="AB848" s="22"/>
      <c r="AC848" s="22"/>
      <c r="AD848" s="22"/>
      <c r="AE848" s="22"/>
    </row>
    <row r="849">
      <c r="A849" s="22"/>
      <c r="B849" s="22" t="str">
        <f>IF(ISBLANK(A849),"",VLOOKUP(A849,DOI_URL!$B$1:$C$74,2,FALSE()))</f>
        <v/>
      </c>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c r="AA849" s="22"/>
      <c r="AB849" s="22"/>
      <c r="AC849" s="22"/>
      <c r="AD849" s="22"/>
      <c r="AE849" s="22"/>
    </row>
    <row r="850">
      <c r="A850" s="22"/>
      <c r="B850" s="22" t="str">
        <f>IF(ISBLANK(A850),"",VLOOKUP(A850,DOI_URL!$B$1:$C$74,2,FALSE()))</f>
        <v/>
      </c>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c r="AA850" s="22"/>
      <c r="AB850" s="22"/>
      <c r="AC850" s="22"/>
      <c r="AD850" s="22"/>
      <c r="AE850" s="22"/>
    </row>
    <row r="851">
      <c r="A851" s="22"/>
      <c r="B851" s="22" t="str">
        <f>IF(ISBLANK(A851),"",VLOOKUP(A851,DOI_URL!$B$1:$C$74,2,FALSE()))</f>
        <v/>
      </c>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c r="AA851" s="22"/>
      <c r="AB851" s="22"/>
      <c r="AC851" s="22"/>
      <c r="AD851" s="22"/>
      <c r="AE851" s="22"/>
    </row>
    <row r="852">
      <c r="A852" s="22"/>
      <c r="B852" s="22" t="str">
        <f>IF(ISBLANK(A852),"",VLOOKUP(A852,DOI_URL!$B$1:$C$74,2,FALSE()))</f>
        <v/>
      </c>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c r="AA852" s="22"/>
      <c r="AB852" s="22"/>
      <c r="AC852" s="22"/>
      <c r="AD852" s="22"/>
      <c r="AE852" s="22"/>
    </row>
    <row r="853">
      <c r="A853" s="22"/>
      <c r="B853" s="22" t="str">
        <f>IF(ISBLANK(A853),"",VLOOKUP(A853,DOI_URL!$B$1:$C$74,2,FALSE()))</f>
        <v/>
      </c>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c r="AA853" s="22"/>
      <c r="AB853" s="22"/>
      <c r="AC853" s="22"/>
      <c r="AD853" s="22"/>
      <c r="AE853" s="22"/>
    </row>
    <row r="854">
      <c r="A854" s="22"/>
      <c r="B854" s="22" t="str">
        <f>IF(ISBLANK(A854),"",VLOOKUP(A854,DOI_URL!$B$1:$C$74,2,FALSE()))</f>
        <v/>
      </c>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c r="AA854" s="22"/>
      <c r="AB854" s="22"/>
      <c r="AC854" s="22"/>
      <c r="AD854" s="22"/>
      <c r="AE854" s="22"/>
    </row>
    <row r="855">
      <c r="A855" s="22"/>
      <c r="B855" s="22" t="str">
        <f>IF(ISBLANK(A855),"",VLOOKUP(A855,DOI_URL!$B$1:$C$74,2,FALSE()))</f>
        <v/>
      </c>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c r="AA855" s="22"/>
      <c r="AB855" s="22"/>
      <c r="AC855" s="22"/>
      <c r="AD855" s="22"/>
      <c r="AE855" s="22"/>
    </row>
    <row r="856">
      <c r="A856" s="22"/>
      <c r="B856" s="22" t="str">
        <f>IF(ISBLANK(A856),"",VLOOKUP(A856,DOI_URL!$B$1:$C$74,2,FALSE()))</f>
        <v/>
      </c>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c r="AA856" s="22"/>
      <c r="AB856" s="22"/>
      <c r="AC856" s="22"/>
      <c r="AD856" s="22"/>
      <c r="AE856" s="22"/>
    </row>
    <row r="857">
      <c r="A857" s="22"/>
      <c r="B857" s="22" t="str">
        <f>IF(ISBLANK(A857),"",VLOOKUP(A857,DOI_URL!$B$1:$C$74,2,FALSE()))</f>
        <v/>
      </c>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c r="AA857" s="22"/>
      <c r="AB857" s="22"/>
      <c r="AC857" s="22"/>
      <c r="AD857" s="22"/>
      <c r="AE857" s="22"/>
    </row>
    <row r="858">
      <c r="A858" s="22"/>
      <c r="B858" s="22" t="str">
        <f>IF(ISBLANK(A858),"",VLOOKUP(A858,DOI_URL!$B$1:$C$74,2,FALSE()))</f>
        <v/>
      </c>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c r="AA858" s="22"/>
      <c r="AB858" s="22"/>
      <c r="AC858" s="22"/>
      <c r="AD858" s="22"/>
      <c r="AE858" s="22"/>
    </row>
    <row r="859">
      <c r="A859" s="22"/>
      <c r="B859" s="22" t="str">
        <f>IF(ISBLANK(A859),"",VLOOKUP(A859,DOI_URL!$B$1:$C$74,2,FALSE()))</f>
        <v/>
      </c>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c r="AA859" s="22"/>
      <c r="AB859" s="22"/>
      <c r="AC859" s="22"/>
      <c r="AD859" s="22"/>
      <c r="AE859" s="22"/>
    </row>
    <row r="860">
      <c r="A860" s="22"/>
      <c r="B860" s="22" t="str">
        <f>IF(ISBLANK(A860),"",VLOOKUP(A860,DOI_URL!$B$1:$C$74,2,FALSE()))</f>
        <v/>
      </c>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c r="AA860" s="22"/>
      <c r="AB860" s="22"/>
      <c r="AC860" s="22"/>
      <c r="AD860" s="22"/>
      <c r="AE860" s="22"/>
    </row>
    <row r="861">
      <c r="A861" s="22"/>
      <c r="B861" s="22" t="str">
        <f>IF(ISBLANK(A861),"",VLOOKUP(A861,DOI_URL!$B$1:$C$74,2,FALSE()))</f>
        <v/>
      </c>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c r="AA861" s="22"/>
      <c r="AB861" s="22"/>
      <c r="AC861" s="22"/>
      <c r="AD861" s="22"/>
      <c r="AE861" s="22"/>
    </row>
    <row r="862">
      <c r="A862" s="22"/>
      <c r="B862" s="22" t="str">
        <f>IF(ISBLANK(A862),"",VLOOKUP(A862,DOI_URL!$B$1:$C$74,2,FALSE()))</f>
        <v/>
      </c>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c r="AA862" s="22"/>
      <c r="AB862" s="22"/>
      <c r="AC862" s="22"/>
      <c r="AD862" s="22"/>
      <c r="AE862" s="22"/>
    </row>
    <row r="863">
      <c r="A863" s="22"/>
      <c r="B863" s="22" t="str">
        <f>IF(ISBLANK(A863),"",VLOOKUP(A863,DOI_URL!$B$1:$C$74,2,FALSE()))</f>
        <v/>
      </c>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c r="AA863" s="22"/>
      <c r="AB863" s="22"/>
      <c r="AC863" s="22"/>
      <c r="AD863" s="22"/>
      <c r="AE863" s="22"/>
    </row>
    <row r="864">
      <c r="A864" s="22"/>
      <c r="B864" s="22" t="str">
        <f>IF(ISBLANK(A864),"",VLOOKUP(A864,DOI_URL!$B$1:$C$74,2,FALSE()))</f>
        <v/>
      </c>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c r="AA864" s="22"/>
      <c r="AB864" s="22"/>
      <c r="AC864" s="22"/>
      <c r="AD864" s="22"/>
      <c r="AE864" s="22"/>
    </row>
    <row r="865">
      <c r="A865" s="22"/>
      <c r="B865" s="22" t="str">
        <f>IF(ISBLANK(A865),"",VLOOKUP(A865,DOI_URL!$B$1:$C$74,2,FALSE()))</f>
        <v/>
      </c>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c r="AA865" s="22"/>
      <c r="AB865" s="22"/>
      <c r="AC865" s="22"/>
      <c r="AD865" s="22"/>
      <c r="AE865" s="22"/>
    </row>
    <row r="866">
      <c r="A866" s="22"/>
      <c r="B866" s="22" t="str">
        <f>IF(ISBLANK(A866),"",VLOOKUP(A866,DOI_URL!$B$1:$C$74,2,FALSE()))</f>
        <v/>
      </c>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c r="AA866" s="22"/>
      <c r="AB866" s="22"/>
      <c r="AC866" s="22"/>
      <c r="AD866" s="22"/>
      <c r="AE866" s="22"/>
    </row>
    <row r="867">
      <c r="A867" s="22"/>
      <c r="B867" s="22" t="str">
        <f>IF(ISBLANK(A867),"",VLOOKUP(A867,DOI_URL!$B$1:$C$74,2,FALSE()))</f>
        <v/>
      </c>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c r="AA867" s="22"/>
      <c r="AB867" s="22"/>
      <c r="AC867" s="22"/>
      <c r="AD867" s="22"/>
      <c r="AE867" s="22"/>
    </row>
    <row r="868">
      <c r="A868" s="22"/>
      <c r="B868" s="22" t="str">
        <f>IF(ISBLANK(A868),"",VLOOKUP(A868,DOI_URL!$B$1:$C$74,2,FALSE()))</f>
        <v/>
      </c>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c r="AA868" s="22"/>
      <c r="AB868" s="22"/>
      <c r="AC868" s="22"/>
      <c r="AD868" s="22"/>
      <c r="AE868" s="22"/>
    </row>
    <row r="869">
      <c r="A869" s="22"/>
      <c r="B869" s="22" t="str">
        <f>IF(ISBLANK(A869),"",VLOOKUP(A869,DOI_URL!$B$1:$C$74,2,FALSE()))</f>
        <v/>
      </c>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c r="AA869" s="22"/>
      <c r="AB869" s="22"/>
      <c r="AC869" s="22"/>
      <c r="AD869" s="22"/>
      <c r="AE869" s="22"/>
    </row>
    <row r="870">
      <c r="A870" s="22"/>
      <c r="B870" s="22" t="str">
        <f>IF(ISBLANK(A870),"",VLOOKUP(A870,DOI_URL!$B$1:$C$74,2,FALSE()))</f>
        <v/>
      </c>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c r="AA870" s="22"/>
      <c r="AB870" s="22"/>
      <c r="AC870" s="22"/>
      <c r="AD870" s="22"/>
      <c r="AE870" s="22"/>
    </row>
    <row r="871">
      <c r="A871" s="22"/>
      <c r="B871" s="22" t="str">
        <f>IF(ISBLANK(A871),"",VLOOKUP(A871,DOI_URL!$B$1:$C$74,2,FALSE()))</f>
        <v/>
      </c>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c r="AA871" s="22"/>
      <c r="AB871" s="22"/>
      <c r="AC871" s="22"/>
      <c r="AD871" s="22"/>
      <c r="AE871" s="22"/>
    </row>
    <row r="872">
      <c r="A872" s="22"/>
      <c r="B872" s="22" t="str">
        <f>IF(ISBLANK(A872),"",VLOOKUP(A872,DOI_URL!$B$1:$C$74,2,FALSE()))</f>
        <v/>
      </c>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c r="AA872" s="22"/>
      <c r="AB872" s="22"/>
      <c r="AC872" s="22"/>
      <c r="AD872" s="22"/>
      <c r="AE872" s="22"/>
    </row>
    <row r="873">
      <c r="A873" s="22"/>
      <c r="B873" s="22" t="str">
        <f>IF(ISBLANK(A873),"",VLOOKUP(A873,DOI_URL!$B$1:$C$74,2,FALSE()))</f>
        <v/>
      </c>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c r="AA873" s="22"/>
      <c r="AB873" s="22"/>
      <c r="AC873" s="22"/>
      <c r="AD873" s="22"/>
      <c r="AE873" s="22"/>
    </row>
    <row r="874">
      <c r="A874" s="22"/>
      <c r="B874" s="22" t="str">
        <f>IF(ISBLANK(A874),"",VLOOKUP(A874,DOI_URL!$B$1:$C$74,2,FALSE()))</f>
        <v/>
      </c>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c r="AA874" s="22"/>
      <c r="AB874" s="22"/>
      <c r="AC874" s="22"/>
      <c r="AD874" s="22"/>
      <c r="AE874" s="22"/>
    </row>
    <row r="875">
      <c r="A875" s="22"/>
      <c r="B875" s="22" t="str">
        <f>IF(ISBLANK(A875),"",VLOOKUP(A875,DOI_URL!$B$1:$C$74,2,FALSE()))</f>
        <v/>
      </c>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c r="AA875" s="22"/>
      <c r="AB875" s="22"/>
      <c r="AC875" s="22"/>
      <c r="AD875" s="22"/>
      <c r="AE875" s="22"/>
    </row>
    <row r="876">
      <c r="A876" s="22"/>
      <c r="B876" s="22" t="str">
        <f>IF(ISBLANK(A876),"",VLOOKUP(A876,DOI_URL!$B$1:$C$74,2,FALSE()))</f>
        <v/>
      </c>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c r="AA876" s="22"/>
      <c r="AB876" s="22"/>
      <c r="AC876" s="22"/>
      <c r="AD876" s="22"/>
      <c r="AE876" s="22"/>
    </row>
    <row r="877">
      <c r="A877" s="22"/>
      <c r="B877" s="22" t="str">
        <f>IF(ISBLANK(A877),"",VLOOKUP(A877,DOI_URL!$B$1:$C$74,2,FALSE()))</f>
        <v/>
      </c>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c r="AA877" s="22"/>
      <c r="AB877" s="22"/>
      <c r="AC877" s="22"/>
      <c r="AD877" s="22"/>
      <c r="AE877" s="22"/>
    </row>
    <row r="878">
      <c r="A878" s="22"/>
      <c r="B878" s="22" t="str">
        <f>IF(ISBLANK(A878),"",VLOOKUP(A878,DOI_URL!$B$1:$C$74,2,FALSE()))</f>
        <v/>
      </c>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c r="AA878" s="22"/>
      <c r="AB878" s="22"/>
      <c r="AC878" s="22"/>
      <c r="AD878" s="22"/>
      <c r="AE878" s="22"/>
    </row>
    <row r="879">
      <c r="A879" s="22"/>
      <c r="B879" s="22" t="str">
        <f>IF(ISBLANK(A879),"",VLOOKUP(A879,DOI_URL!$B$1:$C$74,2,FALSE()))</f>
        <v/>
      </c>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c r="AA879" s="22"/>
      <c r="AB879" s="22"/>
      <c r="AC879" s="22"/>
      <c r="AD879" s="22"/>
      <c r="AE879" s="22"/>
    </row>
    <row r="880">
      <c r="A880" s="22"/>
      <c r="B880" s="22" t="str">
        <f>IF(ISBLANK(A880),"",VLOOKUP(A880,DOI_URL!$B$1:$C$74,2,FALSE()))</f>
        <v/>
      </c>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c r="AA880" s="22"/>
      <c r="AB880" s="22"/>
      <c r="AC880" s="22"/>
      <c r="AD880" s="22"/>
      <c r="AE880" s="22"/>
    </row>
    <row r="881">
      <c r="A881" s="22"/>
      <c r="B881" s="22" t="str">
        <f>IF(ISBLANK(A881),"",VLOOKUP(A881,DOI_URL!$B$1:$C$74,2,FALSE()))</f>
        <v/>
      </c>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c r="AA881" s="22"/>
      <c r="AB881" s="22"/>
      <c r="AC881" s="22"/>
      <c r="AD881" s="22"/>
      <c r="AE881" s="22"/>
    </row>
    <row r="882">
      <c r="A882" s="22"/>
      <c r="B882" s="22" t="str">
        <f>IF(ISBLANK(A882),"",VLOOKUP(A882,DOI_URL!$B$1:$C$74,2,FALSE()))</f>
        <v/>
      </c>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c r="AA882" s="22"/>
      <c r="AB882" s="22"/>
      <c r="AC882" s="22"/>
      <c r="AD882" s="22"/>
      <c r="AE882" s="22"/>
    </row>
    <row r="883">
      <c r="A883" s="22"/>
      <c r="B883" s="22" t="str">
        <f>IF(ISBLANK(A883),"",VLOOKUP(A883,DOI_URL!$B$1:$C$74,2,FALSE()))</f>
        <v/>
      </c>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c r="AA883" s="22"/>
      <c r="AB883" s="22"/>
      <c r="AC883" s="22"/>
      <c r="AD883" s="22"/>
      <c r="AE883" s="22"/>
    </row>
    <row r="884">
      <c r="A884" s="22"/>
      <c r="B884" s="22" t="str">
        <f>IF(ISBLANK(A884),"",VLOOKUP(A884,DOI_URL!$B$1:$C$74,2,FALSE()))</f>
        <v/>
      </c>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c r="AA884" s="22"/>
      <c r="AB884" s="22"/>
      <c r="AC884" s="22"/>
      <c r="AD884" s="22"/>
      <c r="AE884" s="22"/>
    </row>
    <row r="885">
      <c r="A885" s="22"/>
      <c r="B885" s="22" t="str">
        <f>IF(ISBLANK(A885),"",VLOOKUP(A885,DOI_URL!$B$1:$C$74,2,FALSE()))</f>
        <v/>
      </c>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c r="AA885" s="22"/>
      <c r="AB885" s="22"/>
      <c r="AC885" s="22"/>
      <c r="AD885" s="22"/>
      <c r="AE885" s="22"/>
    </row>
    <row r="886">
      <c r="A886" s="22"/>
      <c r="B886" s="22" t="str">
        <f>IF(ISBLANK(A886),"",VLOOKUP(A886,DOI_URL!$B$1:$C$74,2,FALSE()))</f>
        <v/>
      </c>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c r="AA886" s="22"/>
      <c r="AB886" s="22"/>
      <c r="AC886" s="22"/>
      <c r="AD886" s="22"/>
      <c r="AE886" s="22"/>
    </row>
    <row r="887">
      <c r="A887" s="22"/>
      <c r="B887" s="22" t="str">
        <f>IF(ISBLANK(A887),"",VLOOKUP(A887,DOI_URL!$B$1:$C$74,2,FALSE()))</f>
        <v/>
      </c>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c r="AA887" s="22"/>
      <c r="AB887" s="22"/>
      <c r="AC887" s="22"/>
      <c r="AD887" s="22"/>
      <c r="AE887" s="22"/>
    </row>
    <row r="888">
      <c r="A888" s="22"/>
      <c r="B888" s="22" t="str">
        <f>IF(ISBLANK(A888),"",VLOOKUP(A888,DOI_URL!$B$1:$C$74,2,FALSE()))</f>
        <v/>
      </c>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c r="AA888" s="22"/>
      <c r="AB888" s="22"/>
      <c r="AC888" s="22"/>
      <c r="AD888" s="22"/>
      <c r="AE888" s="22"/>
    </row>
    <row r="889">
      <c r="A889" s="22"/>
      <c r="B889" s="22" t="str">
        <f>IF(ISBLANK(A889),"",VLOOKUP(A889,DOI_URL!$B$1:$C$74,2,FALSE()))</f>
        <v/>
      </c>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c r="AA889" s="22"/>
      <c r="AB889" s="22"/>
      <c r="AC889" s="22"/>
      <c r="AD889" s="22"/>
      <c r="AE889" s="22"/>
    </row>
    <row r="890">
      <c r="A890" s="22"/>
      <c r="B890" s="22" t="str">
        <f>IF(ISBLANK(A890),"",VLOOKUP(A890,DOI_URL!$B$1:$C$74,2,FALSE()))</f>
        <v/>
      </c>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c r="AA890" s="22"/>
      <c r="AB890" s="22"/>
      <c r="AC890" s="22"/>
      <c r="AD890" s="22"/>
      <c r="AE890" s="22"/>
    </row>
    <row r="891">
      <c r="A891" s="22"/>
      <c r="B891" s="22" t="str">
        <f>IF(ISBLANK(A891),"",VLOOKUP(A891,DOI_URL!$B$1:$C$74,2,FALSE()))</f>
        <v/>
      </c>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c r="AA891" s="22"/>
      <c r="AB891" s="22"/>
      <c r="AC891" s="22"/>
      <c r="AD891" s="22"/>
      <c r="AE891" s="22"/>
    </row>
    <row r="892">
      <c r="A892" s="22"/>
      <c r="B892" s="22" t="str">
        <f>IF(ISBLANK(A892),"",VLOOKUP(A892,DOI_URL!$B$1:$C$74,2,FALSE()))</f>
        <v/>
      </c>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c r="AA892" s="22"/>
      <c r="AB892" s="22"/>
      <c r="AC892" s="22"/>
      <c r="AD892" s="22"/>
      <c r="AE892" s="22"/>
    </row>
    <row r="893">
      <c r="A893" s="22"/>
      <c r="B893" s="22" t="str">
        <f>IF(ISBLANK(A893),"",VLOOKUP(A893,DOI_URL!$B$1:$C$74,2,FALSE()))</f>
        <v/>
      </c>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c r="AA893" s="22"/>
      <c r="AB893" s="22"/>
      <c r="AC893" s="22"/>
      <c r="AD893" s="22"/>
      <c r="AE893" s="22"/>
    </row>
    <row r="894">
      <c r="A894" s="22"/>
      <c r="B894" s="22" t="str">
        <f>IF(ISBLANK(A894),"",VLOOKUP(A894,DOI_URL!$B$1:$C$74,2,FALSE()))</f>
        <v/>
      </c>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c r="AA894" s="22"/>
      <c r="AB894" s="22"/>
      <c r="AC894" s="22"/>
      <c r="AD894" s="22"/>
      <c r="AE894" s="22"/>
    </row>
    <row r="895">
      <c r="A895" s="22"/>
      <c r="B895" s="22" t="str">
        <f>IF(ISBLANK(A895),"",VLOOKUP(A895,DOI_URL!$B$1:$C$74,2,FALSE()))</f>
        <v/>
      </c>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c r="AA895" s="22"/>
      <c r="AB895" s="22"/>
      <c r="AC895" s="22"/>
      <c r="AD895" s="22"/>
      <c r="AE895" s="22"/>
    </row>
    <row r="896">
      <c r="A896" s="22"/>
      <c r="B896" s="22" t="str">
        <f>IF(ISBLANK(A896),"",VLOOKUP(A896,DOI_URL!$B$1:$C$74,2,FALSE()))</f>
        <v/>
      </c>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c r="AA896" s="22"/>
      <c r="AB896" s="22"/>
      <c r="AC896" s="22"/>
      <c r="AD896" s="22"/>
      <c r="AE896" s="22"/>
    </row>
    <row r="897">
      <c r="A897" s="22"/>
      <c r="B897" s="22" t="str">
        <f>IF(ISBLANK(A897),"",VLOOKUP(A897,DOI_URL!$B$1:$C$74,2,FALSE()))</f>
        <v/>
      </c>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c r="AA897" s="22"/>
      <c r="AB897" s="22"/>
      <c r="AC897" s="22"/>
      <c r="AD897" s="22"/>
      <c r="AE897" s="22"/>
    </row>
    <row r="898">
      <c r="A898" s="22"/>
      <c r="B898" s="22" t="str">
        <f>IF(ISBLANK(A898),"",VLOOKUP(A898,DOI_URL!$B$1:$C$74,2,FALSE()))</f>
        <v/>
      </c>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c r="AA898" s="22"/>
      <c r="AB898" s="22"/>
      <c r="AC898" s="22"/>
      <c r="AD898" s="22"/>
      <c r="AE898" s="22"/>
    </row>
    <row r="899">
      <c r="A899" s="22"/>
      <c r="B899" s="22" t="str">
        <f>IF(ISBLANK(A899),"",VLOOKUP(A899,DOI_URL!$B$1:$C$74,2,FALSE()))</f>
        <v/>
      </c>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c r="AA899" s="22"/>
      <c r="AB899" s="22"/>
      <c r="AC899" s="22"/>
      <c r="AD899" s="22"/>
      <c r="AE899" s="22"/>
    </row>
    <row r="900">
      <c r="A900" s="22"/>
      <c r="B900" s="22" t="str">
        <f>IF(ISBLANK(A900),"",VLOOKUP(A900,DOI_URL!$B$1:$C$74,2,FALSE()))</f>
        <v/>
      </c>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c r="AA900" s="22"/>
      <c r="AB900" s="22"/>
      <c r="AC900" s="22"/>
      <c r="AD900" s="22"/>
      <c r="AE900" s="22"/>
    </row>
    <row r="901">
      <c r="A901" s="22"/>
      <c r="B901" s="22" t="str">
        <f>IF(ISBLANK(A901),"",VLOOKUP(A901,DOI_URL!$B$1:$C$74,2,FALSE()))</f>
        <v/>
      </c>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c r="AA901" s="22"/>
      <c r="AB901" s="22"/>
      <c r="AC901" s="22"/>
      <c r="AD901" s="22"/>
      <c r="AE901" s="22"/>
    </row>
    <row r="902">
      <c r="A902" s="22"/>
      <c r="B902" s="22" t="str">
        <f>IF(ISBLANK(A902),"",VLOOKUP(A902,DOI_URL!$B$1:$C$74,2,FALSE()))</f>
        <v/>
      </c>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c r="AA902" s="22"/>
      <c r="AB902" s="22"/>
      <c r="AC902" s="22"/>
      <c r="AD902" s="22"/>
      <c r="AE902" s="22"/>
    </row>
    <row r="903">
      <c r="A903" s="22"/>
      <c r="B903" s="22" t="str">
        <f>IF(ISBLANK(A903),"",VLOOKUP(A903,DOI_URL!$B$1:$C$74,2,FALSE()))</f>
        <v/>
      </c>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c r="AA903" s="22"/>
      <c r="AB903" s="22"/>
      <c r="AC903" s="22"/>
      <c r="AD903" s="22"/>
      <c r="AE903" s="22"/>
    </row>
    <row r="904">
      <c r="A904" s="22"/>
      <c r="B904" s="22" t="str">
        <f>IF(ISBLANK(A904),"",VLOOKUP(A904,DOI_URL!$B$1:$C$74,2,FALSE()))</f>
        <v/>
      </c>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c r="AA904" s="22"/>
      <c r="AB904" s="22"/>
      <c r="AC904" s="22"/>
      <c r="AD904" s="22"/>
      <c r="AE904" s="22"/>
    </row>
    <row r="905">
      <c r="A905" s="22"/>
      <c r="B905" s="22" t="str">
        <f>IF(ISBLANK(A905),"",VLOOKUP(A905,DOI_URL!$B$1:$C$74,2,FALSE()))</f>
        <v/>
      </c>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c r="AA905" s="22"/>
      <c r="AB905" s="22"/>
      <c r="AC905" s="22"/>
      <c r="AD905" s="22"/>
      <c r="AE905" s="22"/>
    </row>
    <row r="906">
      <c r="A906" s="22"/>
      <c r="B906" s="22" t="str">
        <f>IF(ISBLANK(A906),"",VLOOKUP(A906,DOI_URL!$B$1:$C$74,2,FALSE()))</f>
        <v/>
      </c>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c r="AA906" s="22"/>
      <c r="AB906" s="22"/>
      <c r="AC906" s="22"/>
      <c r="AD906" s="22"/>
      <c r="AE906" s="22"/>
    </row>
    <row r="907">
      <c r="A907" s="22"/>
      <c r="B907" s="22" t="str">
        <f>IF(ISBLANK(A907),"",VLOOKUP(A907,DOI_URL!$B$1:$C$74,2,FALSE()))</f>
        <v/>
      </c>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c r="AA907" s="22"/>
      <c r="AB907" s="22"/>
      <c r="AC907" s="22"/>
      <c r="AD907" s="22"/>
      <c r="AE907" s="22"/>
    </row>
    <row r="908">
      <c r="A908" s="22"/>
      <c r="B908" s="22" t="str">
        <f>IF(ISBLANK(A908),"",VLOOKUP(A908,DOI_URL!$B$1:$C$74,2,FALSE()))</f>
        <v/>
      </c>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c r="AA908" s="22"/>
      <c r="AB908" s="22"/>
      <c r="AC908" s="22"/>
      <c r="AD908" s="22"/>
      <c r="AE908" s="22"/>
    </row>
    <row r="909">
      <c r="A909" s="22"/>
      <c r="B909" s="22" t="str">
        <f>IF(ISBLANK(A909),"",VLOOKUP(A909,DOI_URL!$B$1:$C$74,2,FALSE()))</f>
        <v/>
      </c>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c r="AA909" s="22"/>
      <c r="AB909" s="22"/>
      <c r="AC909" s="22"/>
      <c r="AD909" s="22"/>
      <c r="AE909" s="22"/>
    </row>
    <row r="910">
      <c r="A910" s="22"/>
      <c r="B910" s="22" t="str">
        <f>IF(ISBLANK(A910),"",VLOOKUP(A910,DOI_URL!$B$1:$C$74,2,FALSE()))</f>
        <v/>
      </c>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c r="AA910" s="22"/>
      <c r="AB910" s="22"/>
      <c r="AC910" s="22"/>
      <c r="AD910" s="22"/>
      <c r="AE910" s="22"/>
    </row>
    <row r="911">
      <c r="A911" s="22"/>
      <c r="B911" s="22" t="str">
        <f>IF(ISBLANK(A911),"",VLOOKUP(A911,DOI_URL!$B$1:$C$74,2,FALSE()))</f>
        <v/>
      </c>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c r="AA911" s="22"/>
      <c r="AB911" s="22"/>
      <c r="AC911" s="22"/>
      <c r="AD911" s="22"/>
      <c r="AE911" s="22"/>
    </row>
    <row r="912">
      <c r="A912" s="22"/>
      <c r="B912" s="22" t="str">
        <f>IF(ISBLANK(A912),"",VLOOKUP(A912,DOI_URL!$B$1:$C$74,2,FALSE()))</f>
        <v/>
      </c>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c r="AA912" s="22"/>
      <c r="AB912" s="22"/>
      <c r="AC912" s="22"/>
      <c r="AD912" s="22"/>
      <c r="AE912" s="22"/>
    </row>
    <row r="913">
      <c r="A913" s="22"/>
      <c r="B913" s="22" t="str">
        <f>IF(ISBLANK(A913),"",VLOOKUP(A913,DOI_URL!$B$1:$C$74,2,FALSE()))</f>
        <v/>
      </c>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c r="AA913" s="22"/>
      <c r="AB913" s="22"/>
      <c r="AC913" s="22"/>
      <c r="AD913" s="22"/>
      <c r="AE913" s="22"/>
    </row>
    <row r="914">
      <c r="A914" s="22"/>
      <c r="B914" s="22" t="str">
        <f>IF(ISBLANK(A914),"",VLOOKUP(A914,DOI_URL!$B$1:$C$74,2,FALSE()))</f>
        <v/>
      </c>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c r="AA914" s="22"/>
      <c r="AB914" s="22"/>
      <c r="AC914" s="22"/>
      <c r="AD914" s="22"/>
      <c r="AE914" s="22"/>
    </row>
    <row r="915">
      <c r="A915" s="22"/>
      <c r="B915" s="22" t="str">
        <f>IF(ISBLANK(A915),"",VLOOKUP(A915,DOI_URL!$B$1:$C$74,2,FALSE()))</f>
        <v/>
      </c>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c r="AA915" s="22"/>
      <c r="AB915" s="22"/>
      <c r="AC915" s="22"/>
      <c r="AD915" s="22"/>
      <c r="AE915" s="22"/>
    </row>
    <row r="916">
      <c r="A916" s="22"/>
      <c r="B916" s="22" t="str">
        <f>IF(ISBLANK(A916),"",VLOOKUP(A916,DOI_URL!$B$1:$C$74,2,FALSE()))</f>
        <v/>
      </c>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c r="AA916" s="22"/>
      <c r="AB916" s="22"/>
      <c r="AC916" s="22"/>
      <c r="AD916" s="22"/>
      <c r="AE916" s="22"/>
    </row>
    <row r="917">
      <c r="A917" s="22"/>
      <c r="B917" s="22" t="str">
        <f>IF(ISBLANK(A917),"",VLOOKUP(A917,DOI_URL!$B$1:$C$74,2,FALSE()))</f>
        <v/>
      </c>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c r="AA917" s="22"/>
      <c r="AB917" s="22"/>
      <c r="AC917" s="22"/>
      <c r="AD917" s="22"/>
      <c r="AE917" s="22"/>
    </row>
    <row r="918">
      <c r="A918" s="22"/>
      <c r="B918" s="22" t="str">
        <f>IF(ISBLANK(A918),"",VLOOKUP(A918,DOI_URL!$B$1:$C$74,2,FALSE()))</f>
        <v/>
      </c>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c r="AA918" s="22"/>
      <c r="AB918" s="22"/>
      <c r="AC918" s="22"/>
      <c r="AD918" s="22"/>
      <c r="AE918" s="22"/>
    </row>
    <row r="919">
      <c r="A919" s="22"/>
      <c r="B919" s="22" t="str">
        <f>IF(ISBLANK(A919),"",VLOOKUP(A919,DOI_URL!$B$1:$C$74,2,FALSE()))</f>
        <v/>
      </c>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c r="AA919" s="22"/>
      <c r="AB919" s="22"/>
      <c r="AC919" s="22"/>
      <c r="AD919" s="22"/>
      <c r="AE919" s="22"/>
    </row>
    <row r="920">
      <c r="A920" s="22"/>
      <c r="B920" s="22" t="str">
        <f>IF(ISBLANK(A920),"",VLOOKUP(A920,DOI_URL!$B$1:$C$74,2,FALSE()))</f>
        <v/>
      </c>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c r="AA920" s="22"/>
      <c r="AB920" s="22"/>
      <c r="AC920" s="22"/>
      <c r="AD920" s="22"/>
      <c r="AE920" s="22"/>
    </row>
    <row r="921">
      <c r="A921" s="22"/>
      <c r="B921" s="22" t="str">
        <f>IF(ISBLANK(A921),"",VLOOKUP(A921,DOI_URL!$B$1:$C$74,2,FALSE()))</f>
        <v/>
      </c>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c r="AA921" s="22"/>
      <c r="AB921" s="22"/>
      <c r="AC921" s="22"/>
      <c r="AD921" s="22"/>
      <c r="AE921" s="22"/>
    </row>
    <row r="922">
      <c r="A922" s="22"/>
      <c r="B922" s="22" t="str">
        <f>IF(ISBLANK(A922),"",VLOOKUP(A922,DOI_URL!$B$1:$C$74,2,FALSE()))</f>
        <v/>
      </c>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c r="AA922" s="22"/>
      <c r="AB922" s="22"/>
      <c r="AC922" s="22"/>
      <c r="AD922" s="22"/>
      <c r="AE922" s="22"/>
    </row>
    <row r="923">
      <c r="A923" s="22"/>
      <c r="B923" s="22" t="str">
        <f>IF(ISBLANK(A923),"",VLOOKUP(A923,DOI_URL!$B$1:$C$74,2,FALSE()))</f>
        <v/>
      </c>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c r="AA923" s="22"/>
      <c r="AB923" s="22"/>
      <c r="AC923" s="22"/>
      <c r="AD923" s="22"/>
      <c r="AE923" s="22"/>
    </row>
    <row r="924">
      <c r="A924" s="22"/>
      <c r="B924" s="22" t="str">
        <f>IF(ISBLANK(A924),"",VLOOKUP(A924,DOI_URL!$B$1:$C$74,2,FALSE()))</f>
        <v/>
      </c>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c r="AA924" s="22"/>
      <c r="AB924" s="22"/>
      <c r="AC924" s="22"/>
      <c r="AD924" s="22"/>
      <c r="AE924" s="22"/>
    </row>
    <row r="925">
      <c r="A925" s="22"/>
      <c r="B925" s="22" t="str">
        <f>IF(ISBLANK(A925),"",VLOOKUP(A925,DOI_URL!$B$1:$C$74,2,FALSE()))</f>
        <v/>
      </c>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c r="AA925" s="22"/>
      <c r="AB925" s="22"/>
      <c r="AC925" s="22"/>
      <c r="AD925" s="22"/>
      <c r="AE925" s="22"/>
    </row>
    <row r="926">
      <c r="A926" s="22"/>
      <c r="B926" s="22" t="str">
        <f>IF(ISBLANK(A926),"",VLOOKUP(A926,DOI_URL!$B$1:$C$74,2,FALSE()))</f>
        <v/>
      </c>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c r="AA926" s="22"/>
      <c r="AB926" s="22"/>
      <c r="AC926" s="22"/>
      <c r="AD926" s="22"/>
      <c r="AE926" s="22"/>
    </row>
    <row r="927">
      <c r="A927" s="22"/>
      <c r="B927" s="22" t="str">
        <f>IF(ISBLANK(A927),"",VLOOKUP(A927,DOI_URL!$B$1:$C$74,2,FALSE()))</f>
        <v/>
      </c>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c r="AA927" s="22"/>
      <c r="AB927" s="22"/>
      <c r="AC927" s="22"/>
      <c r="AD927" s="22"/>
      <c r="AE927" s="22"/>
    </row>
    <row r="928">
      <c r="A928" s="22"/>
      <c r="B928" s="22" t="str">
        <f>IF(ISBLANK(A928),"",VLOOKUP(A928,DOI_URL!$B$1:$C$74,2,FALSE()))</f>
        <v/>
      </c>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c r="AA928" s="22"/>
      <c r="AB928" s="22"/>
      <c r="AC928" s="22"/>
      <c r="AD928" s="22"/>
      <c r="AE928" s="22"/>
    </row>
    <row r="929">
      <c r="A929" s="22"/>
      <c r="B929" s="22" t="str">
        <f>IF(ISBLANK(A929),"",VLOOKUP(A929,DOI_URL!$B$1:$C$74,2,FALSE()))</f>
        <v/>
      </c>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c r="AA929" s="22"/>
      <c r="AB929" s="22"/>
      <c r="AC929" s="22"/>
      <c r="AD929" s="22"/>
      <c r="AE929" s="22"/>
    </row>
    <row r="930">
      <c r="A930" s="22"/>
      <c r="B930" s="22" t="str">
        <f>IF(ISBLANK(A930),"",VLOOKUP(A930,DOI_URL!$B$1:$C$74,2,FALSE()))</f>
        <v/>
      </c>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c r="AA930" s="22"/>
      <c r="AB930" s="22"/>
      <c r="AC930" s="22"/>
      <c r="AD930" s="22"/>
      <c r="AE930" s="22"/>
    </row>
    <row r="931">
      <c r="A931" s="22"/>
      <c r="B931" s="22" t="str">
        <f>IF(ISBLANK(A931),"",VLOOKUP(A931,DOI_URL!$B$1:$C$74,2,FALSE()))</f>
        <v/>
      </c>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c r="AA931" s="22"/>
      <c r="AB931" s="22"/>
      <c r="AC931" s="22"/>
      <c r="AD931" s="22"/>
      <c r="AE931" s="22"/>
    </row>
    <row r="932">
      <c r="A932" s="22"/>
      <c r="B932" s="22" t="str">
        <f>IF(ISBLANK(A932),"",VLOOKUP(A932,DOI_URL!$B$1:$C$74,2,FALSE()))</f>
        <v/>
      </c>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c r="AA932" s="22"/>
      <c r="AB932" s="22"/>
      <c r="AC932" s="22"/>
      <c r="AD932" s="22"/>
      <c r="AE932" s="22"/>
    </row>
    <row r="933">
      <c r="A933" s="22"/>
      <c r="B933" s="22" t="str">
        <f>IF(ISBLANK(A933),"",VLOOKUP(A933,DOI_URL!$B$1:$C$74,2,FALSE()))</f>
        <v/>
      </c>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c r="AA933" s="22"/>
      <c r="AB933" s="22"/>
      <c r="AC933" s="22"/>
      <c r="AD933" s="22"/>
      <c r="AE933" s="22"/>
    </row>
    <row r="934">
      <c r="A934" s="22"/>
      <c r="B934" s="22" t="str">
        <f>IF(ISBLANK(A934),"",VLOOKUP(A934,DOI_URL!$B$1:$C$74,2,FALSE()))</f>
        <v/>
      </c>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c r="AA934" s="22"/>
      <c r="AB934" s="22"/>
      <c r="AC934" s="22"/>
      <c r="AD934" s="22"/>
      <c r="AE934" s="22"/>
    </row>
    <row r="935">
      <c r="A935" s="22"/>
      <c r="B935" s="22" t="str">
        <f>IF(ISBLANK(A935),"",VLOOKUP(A935,DOI_URL!$B$1:$C$74,2,FALSE()))</f>
        <v/>
      </c>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c r="AA935" s="22"/>
      <c r="AB935" s="22"/>
      <c r="AC935" s="22"/>
      <c r="AD935" s="22"/>
      <c r="AE935" s="22"/>
    </row>
    <row r="936">
      <c r="A936" s="22"/>
      <c r="B936" s="22" t="str">
        <f>IF(ISBLANK(A936),"",VLOOKUP(A936,DOI_URL!$B$1:$C$74,2,FALSE()))</f>
        <v/>
      </c>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c r="AA936" s="22"/>
      <c r="AB936" s="22"/>
      <c r="AC936" s="22"/>
      <c r="AD936" s="22"/>
      <c r="AE936" s="22"/>
    </row>
    <row r="937">
      <c r="A937" s="22"/>
      <c r="B937" s="22" t="str">
        <f>IF(ISBLANK(A937),"",VLOOKUP(A937,DOI_URL!$B$1:$C$74,2,FALSE()))</f>
        <v/>
      </c>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c r="AA937" s="22"/>
      <c r="AB937" s="22"/>
      <c r="AC937" s="22"/>
      <c r="AD937" s="22"/>
      <c r="AE937" s="22"/>
    </row>
    <row r="938">
      <c r="A938" s="22"/>
      <c r="B938" s="22" t="str">
        <f>IF(ISBLANK(A938),"",VLOOKUP(A938,DOI_URL!$B$1:$C$74,2,FALSE()))</f>
        <v/>
      </c>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c r="AA938" s="22"/>
      <c r="AB938" s="22"/>
      <c r="AC938" s="22"/>
      <c r="AD938" s="22"/>
      <c r="AE938" s="22"/>
    </row>
    <row r="939">
      <c r="A939" s="22"/>
      <c r="B939" s="22" t="str">
        <f>IF(ISBLANK(A939),"",VLOOKUP(A939,DOI_URL!$B$1:$C$74,2,FALSE()))</f>
        <v/>
      </c>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c r="AA939" s="22"/>
      <c r="AB939" s="22"/>
      <c r="AC939" s="22"/>
      <c r="AD939" s="22"/>
      <c r="AE939" s="22"/>
    </row>
    <row r="940">
      <c r="A940" s="22"/>
      <c r="B940" s="22" t="str">
        <f>IF(ISBLANK(A940),"",VLOOKUP(A940,DOI_URL!$B$1:$C$74,2,FALSE()))</f>
        <v/>
      </c>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c r="AA940" s="22"/>
      <c r="AB940" s="22"/>
      <c r="AC940" s="22"/>
      <c r="AD940" s="22"/>
      <c r="AE940" s="22"/>
    </row>
    <row r="941">
      <c r="A941" s="22"/>
      <c r="B941" s="22" t="str">
        <f>IF(ISBLANK(A941),"",VLOOKUP(A941,DOI_URL!$B$1:$C$74,2,FALSE()))</f>
        <v/>
      </c>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c r="AA941" s="22"/>
      <c r="AB941" s="22"/>
      <c r="AC941" s="22"/>
      <c r="AD941" s="22"/>
      <c r="AE941" s="22"/>
    </row>
    <row r="942">
      <c r="A942" s="22"/>
      <c r="B942" s="22" t="str">
        <f>IF(ISBLANK(A942),"",VLOOKUP(A942,DOI_URL!$B$1:$C$74,2,FALSE()))</f>
        <v/>
      </c>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c r="AA942" s="22"/>
      <c r="AB942" s="22"/>
      <c r="AC942" s="22"/>
      <c r="AD942" s="22"/>
      <c r="AE942" s="22"/>
    </row>
    <row r="943">
      <c r="A943" s="22"/>
      <c r="B943" s="22" t="str">
        <f>IF(ISBLANK(A943),"",VLOOKUP(A943,DOI_URL!$B$1:$C$74,2,FALSE()))</f>
        <v/>
      </c>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c r="AA943" s="22"/>
      <c r="AB943" s="22"/>
      <c r="AC943" s="22"/>
      <c r="AD943" s="22"/>
      <c r="AE943" s="22"/>
    </row>
    <row r="944">
      <c r="A944" s="22"/>
      <c r="B944" s="22" t="str">
        <f>IF(ISBLANK(A944),"",VLOOKUP(A944,DOI_URL!$B$1:$C$74,2,FALSE()))</f>
        <v/>
      </c>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c r="AA944" s="22"/>
      <c r="AB944" s="22"/>
      <c r="AC944" s="22"/>
      <c r="AD944" s="22"/>
      <c r="AE944" s="22"/>
    </row>
    <row r="945">
      <c r="A945" s="22"/>
      <c r="B945" s="22" t="str">
        <f>IF(ISBLANK(A945),"",VLOOKUP(A945,DOI_URL!$B$1:$C$74,2,FALSE()))</f>
        <v/>
      </c>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c r="AA945" s="22"/>
      <c r="AB945" s="22"/>
      <c r="AC945" s="22"/>
      <c r="AD945" s="22"/>
      <c r="AE945" s="22"/>
    </row>
    <row r="946">
      <c r="A946" s="22"/>
      <c r="B946" s="22" t="str">
        <f>IF(ISBLANK(A946),"",VLOOKUP(A946,DOI_URL!$B$1:$C$74,2,FALSE()))</f>
        <v/>
      </c>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c r="AA946" s="22"/>
      <c r="AB946" s="22"/>
      <c r="AC946" s="22"/>
      <c r="AD946" s="22"/>
      <c r="AE946" s="22"/>
    </row>
    <row r="947">
      <c r="A947" s="22"/>
      <c r="B947" s="22" t="str">
        <f>IF(ISBLANK(A947),"",VLOOKUP(A947,DOI_URL!$B$1:$C$74,2,FALSE()))</f>
        <v/>
      </c>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c r="AA947" s="22"/>
      <c r="AB947" s="22"/>
      <c r="AC947" s="22"/>
      <c r="AD947" s="22"/>
      <c r="AE947" s="22"/>
    </row>
    <row r="948">
      <c r="A948" s="22"/>
      <c r="B948" s="22" t="str">
        <f>IF(ISBLANK(A948),"",VLOOKUP(A948,DOI_URL!$B$1:$C$74,2,FALSE()))</f>
        <v/>
      </c>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c r="AA948" s="22"/>
      <c r="AB948" s="22"/>
      <c r="AC948" s="22"/>
      <c r="AD948" s="22"/>
      <c r="AE948" s="22"/>
    </row>
    <row r="949">
      <c r="A949" s="22"/>
      <c r="B949" s="22" t="str">
        <f>IF(ISBLANK(A949),"",VLOOKUP(A949,DOI_URL!$B$1:$C$74,2,FALSE()))</f>
        <v/>
      </c>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c r="AA949" s="22"/>
      <c r="AB949" s="22"/>
      <c r="AC949" s="22"/>
      <c r="AD949" s="22"/>
      <c r="AE949" s="22"/>
    </row>
    <row r="950">
      <c r="A950" s="22"/>
      <c r="B950" s="22" t="str">
        <f>IF(ISBLANK(A950),"",VLOOKUP(A950,DOI_URL!$B$1:$C$74,2,FALSE()))</f>
        <v/>
      </c>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c r="AA950" s="22"/>
      <c r="AB950" s="22"/>
      <c r="AC950" s="22"/>
      <c r="AD950" s="22"/>
      <c r="AE950" s="22"/>
    </row>
    <row r="951">
      <c r="A951" s="22"/>
      <c r="B951" s="22" t="str">
        <f>IF(ISBLANK(A951),"",VLOOKUP(A951,DOI_URL!$B$1:$C$74,2,FALSE()))</f>
        <v/>
      </c>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c r="AA951" s="22"/>
      <c r="AB951" s="22"/>
      <c r="AC951" s="22"/>
      <c r="AD951" s="22"/>
      <c r="AE951" s="22"/>
    </row>
    <row r="952">
      <c r="A952" s="22"/>
      <c r="B952" s="22" t="str">
        <f>IF(ISBLANK(A952),"",VLOOKUP(A952,DOI_URL!$B$1:$C$74,2,FALSE()))</f>
        <v/>
      </c>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c r="AA952" s="22"/>
      <c r="AB952" s="22"/>
      <c r="AC952" s="22"/>
      <c r="AD952" s="22"/>
      <c r="AE952" s="22"/>
    </row>
    <row r="953">
      <c r="A953" s="22"/>
      <c r="B953" s="22" t="str">
        <f>IF(ISBLANK(A953),"",VLOOKUP(A953,DOI_URL!$B$1:$C$74,2,FALSE()))</f>
        <v/>
      </c>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c r="AA953" s="22"/>
      <c r="AB953" s="22"/>
      <c r="AC953" s="22"/>
      <c r="AD953" s="22"/>
      <c r="AE953" s="22"/>
    </row>
    <row r="954">
      <c r="A954" s="22"/>
      <c r="B954" s="22" t="str">
        <f>IF(ISBLANK(A954),"",VLOOKUP(A954,DOI_URL!$B$1:$C$74,2,FALSE()))</f>
        <v/>
      </c>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c r="AA954" s="22"/>
      <c r="AB954" s="22"/>
      <c r="AC954" s="22"/>
      <c r="AD954" s="22"/>
      <c r="AE954" s="22"/>
    </row>
    <row r="955">
      <c r="A955" s="22"/>
      <c r="B955" s="22" t="str">
        <f>IF(ISBLANK(A955),"",VLOOKUP(A955,DOI_URL!$B$1:$C$74,2,FALSE()))</f>
        <v/>
      </c>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c r="AA955" s="22"/>
      <c r="AB955" s="22"/>
      <c r="AC955" s="22"/>
      <c r="AD955" s="22"/>
      <c r="AE955" s="22"/>
    </row>
    <row r="956">
      <c r="A956" s="22"/>
      <c r="B956" s="22" t="str">
        <f>IF(ISBLANK(A956),"",VLOOKUP(A956,DOI_URL!$B$1:$C$74,2,FALSE()))</f>
        <v/>
      </c>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c r="AA956" s="22"/>
      <c r="AB956" s="22"/>
      <c r="AC956" s="22"/>
      <c r="AD956" s="22"/>
      <c r="AE956" s="22"/>
    </row>
    <row r="957">
      <c r="A957" s="22"/>
      <c r="B957" s="22" t="str">
        <f>IF(ISBLANK(A957),"",VLOOKUP(A957,DOI_URL!$B$1:$C$74,2,FALSE()))</f>
        <v/>
      </c>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c r="AA957" s="22"/>
      <c r="AB957" s="22"/>
      <c r="AC957" s="22"/>
      <c r="AD957" s="22"/>
      <c r="AE957" s="22"/>
    </row>
    <row r="958">
      <c r="A958" s="22"/>
      <c r="B958" s="22" t="str">
        <f>IF(ISBLANK(A958),"",VLOOKUP(A958,DOI_URL!$B$1:$C$74,2,FALSE()))</f>
        <v/>
      </c>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c r="AA958" s="22"/>
      <c r="AB958" s="22"/>
      <c r="AC958" s="22"/>
      <c r="AD958" s="22"/>
      <c r="AE958" s="22"/>
    </row>
    <row r="959">
      <c r="A959" s="22"/>
      <c r="B959" s="22" t="str">
        <f>IF(ISBLANK(A959),"",VLOOKUP(A959,DOI_URL!$B$1:$C$74,2,FALSE()))</f>
        <v/>
      </c>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c r="AA959" s="22"/>
      <c r="AB959" s="22"/>
      <c r="AC959" s="22"/>
      <c r="AD959" s="22"/>
      <c r="AE959" s="22"/>
    </row>
    <row r="960">
      <c r="A960" s="22"/>
      <c r="B960" s="22" t="str">
        <f>IF(ISBLANK(A960),"",VLOOKUP(A960,DOI_URL!$B$1:$C$74,2,FALSE()))</f>
        <v/>
      </c>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c r="AA960" s="22"/>
      <c r="AB960" s="22"/>
      <c r="AC960" s="22"/>
      <c r="AD960" s="22"/>
      <c r="AE960" s="22"/>
    </row>
    <row r="961">
      <c r="A961" s="22"/>
      <c r="B961" s="22" t="str">
        <f>IF(ISBLANK(A961),"",VLOOKUP(A961,DOI_URL!$B$1:$C$74,2,FALSE()))</f>
        <v/>
      </c>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c r="AA961" s="22"/>
      <c r="AB961" s="22"/>
      <c r="AC961" s="22"/>
      <c r="AD961" s="22"/>
      <c r="AE961" s="22"/>
    </row>
    <row r="962">
      <c r="A962" s="22"/>
      <c r="B962" s="22" t="str">
        <f>IF(ISBLANK(A962),"",VLOOKUP(A962,DOI_URL!$B$1:$C$74,2,FALSE()))</f>
        <v/>
      </c>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c r="AA962" s="22"/>
      <c r="AB962" s="22"/>
      <c r="AC962" s="22"/>
      <c r="AD962" s="22"/>
      <c r="AE962" s="22"/>
    </row>
    <row r="963">
      <c r="A963" s="22"/>
      <c r="B963" s="22" t="str">
        <f>IF(ISBLANK(A963),"",VLOOKUP(A963,DOI_URL!$B$1:$C$74,2,FALSE()))</f>
        <v/>
      </c>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c r="AA963" s="22"/>
      <c r="AB963" s="22"/>
      <c r="AC963" s="22"/>
      <c r="AD963" s="22"/>
      <c r="AE963" s="22"/>
    </row>
    <row r="964">
      <c r="A964" s="22"/>
      <c r="B964" s="22" t="str">
        <f>IF(ISBLANK(A964),"",VLOOKUP(A964,DOI_URL!$B$1:$C$74,2,FALSE()))</f>
        <v/>
      </c>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c r="AA964" s="22"/>
      <c r="AB964" s="22"/>
      <c r="AC964" s="22"/>
      <c r="AD964" s="22"/>
      <c r="AE964" s="22"/>
    </row>
    <row r="965">
      <c r="A965" s="22"/>
      <c r="B965" s="22" t="str">
        <f>IF(ISBLANK(A965),"",VLOOKUP(A965,DOI_URL!$B$1:$C$74,2,FALSE()))</f>
        <v/>
      </c>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c r="AA965" s="22"/>
      <c r="AB965" s="22"/>
      <c r="AC965" s="22"/>
      <c r="AD965" s="22"/>
      <c r="AE965" s="22"/>
    </row>
    <row r="966">
      <c r="A966" s="22"/>
      <c r="B966" s="22" t="str">
        <f>IF(ISBLANK(A966),"",VLOOKUP(A966,DOI_URL!$B$1:$C$74,2,FALSE()))</f>
        <v/>
      </c>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c r="AA966" s="22"/>
      <c r="AB966" s="22"/>
      <c r="AC966" s="22"/>
      <c r="AD966" s="22"/>
      <c r="AE966" s="22"/>
    </row>
    <row r="967">
      <c r="A967" s="22"/>
      <c r="B967" s="22" t="str">
        <f>IF(ISBLANK(A967),"",VLOOKUP(A967,DOI_URL!$B$1:$C$74,2,FALSE()))</f>
        <v/>
      </c>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c r="AA967" s="22"/>
      <c r="AB967" s="22"/>
      <c r="AC967" s="22"/>
      <c r="AD967" s="22"/>
      <c r="AE967" s="22"/>
    </row>
    <row r="968">
      <c r="A968" s="22"/>
      <c r="B968" s="22" t="str">
        <f>IF(ISBLANK(A968),"",VLOOKUP(A968,DOI_URL!$B$1:$C$74,2,FALSE()))</f>
        <v/>
      </c>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c r="AA968" s="22"/>
      <c r="AB968" s="22"/>
      <c r="AC968" s="22"/>
      <c r="AD968" s="22"/>
      <c r="AE968" s="22"/>
    </row>
    <row r="969">
      <c r="A969" s="22"/>
      <c r="B969" s="22" t="str">
        <f>IF(ISBLANK(A969),"",VLOOKUP(A969,DOI_URL!$B$1:$C$74,2,FALSE()))</f>
        <v/>
      </c>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c r="AA969" s="22"/>
      <c r="AB969" s="22"/>
      <c r="AC969" s="22"/>
      <c r="AD969" s="22"/>
      <c r="AE969" s="22"/>
    </row>
    <row r="970">
      <c r="A970" s="22"/>
      <c r="B970" s="22" t="str">
        <f>IF(ISBLANK(A970),"",VLOOKUP(A970,DOI_URL!$B$1:$C$74,2,FALSE()))</f>
        <v/>
      </c>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c r="AA970" s="22"/>
      <c r="AB970" s="22"/>
      <c r="AC970" s="22"/>
      <c r="AD970" s="22"/>
      <c r="AE970" s="22"/>
    </row>
    <row r="971">
      <c r="A971" s="22"/>
      <c r="B971" s="22" t="str">
        <f>IF(ISBLANK(A971),"",VLOOKUP(A971,DOI_URL!$B$1:$C$74,2,FALSE()))</f>
        <v/>
      </c>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c r="AA971" s="22"/>
      <c r="AB971" s="22"/>
      <c r="AC971" s="22"/>
      <c r="AD971" s="22"/>
      <c r="AE971" s="22"/>
    </row>
    <row r="972">
      <c r="A972" s="22"/>
      <c r="B972" s="22" t="str">
        <f>IF(ISBLANK(A972),"",VLOOKUP(A972,DOI_URL!$B$1:$C$74,2,FALSE()))</f>
        <v/>
      </c>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c r="AA972" s="22"/>
      <c r="AB972" s="22"/>
      <c r="AC972" s="22"/>
      <c r="AD972" s="22"/>
      <c r="AE972" s="22"/>
    </row>
    <row r="973">
      <c r="A973" s="22"/>
      <c r="B973" s="22" t="str">
        <f>IF(ISBLANK(A973),"",VLOOKUP(A973,DOI_URL!$B$1:$C$74,2,FALSE()))</f>
        <v/>
      </c>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c r="AA973" s="22"/>
      <c r="AB973" s="22"/>
      <c r="AC973" s="22"/>
      <c r="AD973" s="22"/>
      <c r="AE973" s="22"/>
    </row>
    <row r="974">
      <c r="A974" s="22"/>
      <c r="B974" s="22" t="str">
        <f>IF(ISBLANK(A974),"",VLOOKUP(A974,DOI_URL!$B$1:$C$74,2,FALSE()))</f>
        <v/>
      </c>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c r="AA974" s="22"/>
      <c r="AB974" s="22"/>
      <c r="AC974" s="22"/>
      <c r="AD974" s="22"/>
      <c r="AE974" s="22"/>
    </row>
    <row r="975">
      <c r="A975" s="22"/>
      <c r="B975" s="22" t="str">
        <f>IF(ISBLANK(A975),"",VLOOKUP(A975,DOI_URL!$B$1:$C$74,2,FALSE()))</f>
        <v/>
      </c>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c r="AA975" s="22"/>
      <c r="AB975" s="22"/>
      <c r="AC975" s="22"/>
      <c r="AD975" s="22"/>
      <c r="AE975" s="22"/>
    </row>
    <row r="976">
      <c r="A976" s="22"/>
      <c r="B976" s="22" t="str">
        <f>IF(ISBLANK(A976),"",VLOOKUP(A976,DOI_URL!$B$1:$C$74,2,FALSE()))</f>
        <v/>
      </c>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c r="AA976" s="22"/>
      <c r="AB976" s="22"/>
      <c r="AC976" s="22"/>
      <c r="AD976" s="22"/>
      <c r="AE976" s="22"/>
    </row>
    <row r="977">
      <c r="A977" s="22"/>
      <c r="B977" s="22" t="str">
        <f>IF(ISBLANK(A977),"",VLOOKUP(A977,DOI_URL!$B$1:$C$74,2,FALSE()))</f>
        <v/>
      </c>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c r="AA977" s="22"/>
      <c r="AB977" s="22"/>
      <c r="AC977" s="22"/>
      <c r="AD977" s="22"/>
      <c r="AE977" s="22"/>
    </row>
    <row r="978">
      <c r="A978" s="22"/>
      <c r="B978" s="22" t="str">
        <f>IF(ISBLANK(A978),"",VLOOKUP(A978,DOI_URL!$B$1:$C$74,2,FALSE()))</f>
        <v/>
      </c>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c r="AA978" s="22"/>
      <c r="AB978" s="22"/>
      <c r="AC978" s="22"/>
      <c r="AD978" s="22"/>
      <c r="AE978" s="22"/>
    </row>
    <row r="979">
      <c r="A979" s="22"/>
      <c r="B979" s="22" t="str">
        <f>IF(ISBLANK(A979),"",VLOOKUP(A979,DOI_URL!$B$1:$C$74,2,FALSE()))</f>
        <v/>
      </c>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c r="AA979" s="22"/>
      <c r="AB979" s="22"/>
      <c r="AC979" s="22"/>
      <c r="AD979" s="22"/>
      <c r="AE979" s="22"/>
    </row>
    <row r="980">
      <c r="A980" s="22"/>
      <c r="B980" s="22" t="str">
        <f>IF(ISBLANK(A980),"",VLOOKUP(A980,DOI_URL!$B$1:$C$74,2,FALSE()))</f>
        <v/>
      </c>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c r="AA980" s="22"/>
      <c r="AB980" s="22"/>
      <c r="AC980" s="22"/>
      <c r="AD980" s="22"/>
      <c r="AE980" s="22"/>
    </row>
    <row r="981">
      <c r="A981" s="22"/>
      <c r="B981" s="22" t="str">
        <f>IF(ISBLANK(A981),"",VLOOKUP(A981,DOI_URL!$B$1:$C$74,2,FALSE()))</f>
        <v/>
      </c>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c r="AA981" s="22"/>
      <c r="AB981" s="22"/>
      <c r="AC981" s="22"/>
      <c r="AD981" s="22"/>
      <c r="AE981" s="22"/>
    </row>
    <row r="982">
      <c r="A982" s="22"/>
      <c r="B982" s="22" t="str">
        <f>IF(ISBLANK(A982),"",VLOOKUP(A982,DOI_URL!$B$1:$C$74,2,FALSE()))</f>
        <v/>
      </c>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c r="AA982" s="22"/>
      <c r="AB982" s="22"/>
      <c r="AC982" s="22"/>
      <c r="AD982" s="22"/>
      <c r="AE982" s="22"/>
    </row>
    <row r="983">
      <c r="A983" s="22"/>
      <c r="B983" s="22" t="str">
        <f>IF(ISBLANK(A983),"",VLOOKUP(A983,DOI_URL!$B$1:$C$74,2,FALSE()))</f>
        <v/>
      </c>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c r="AA983" s="22"/>
      <c r="AB983" s="22"/>
      <c r="AC983" s="22"/>
      <c r="AD983" s="22"/>
      <c r="AE983" s="22"/>
    </row>
    <row r="984">
      <c r="A984" s="22"/>
      <c r="B984" s="22" t="str">
        <f>IF(ISBLANK(A984),"",VLOOKUP(A984,DOI_URL!$B$1:$C$74,2,FALSE()))</f>
        <v/>
      </c>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c r="AA984" s="22"/>
      <c r="AB984" s="22"/>
      <c r="AC984" s="22"/>
      <c r="AD984" s="22"/>
      <c r="AE984" s="22"/>
    </row>
    <row r="985">
      <c r="A985" s="22"/>
      <c r="B985" s="22" t="str">
        <f>IF(ISBLANK(A985),"",VLOOKUP(A985,DOI_URL!$B$1:$C$74,2,FALSE()))</f>
        <v/>
      </c>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c r="AA985" s="22"/>
      <c r="AB985" s="22"/>
      <c r="AC985" s="22"/>
      <c r="AD985" s="22"/>
      <c r="AE985" s="22"/>
    </row>
    <row r="986">
      <c r="A986" s="22"/>
      <c r="B986" s="22" t="str">
        <f>IF(ISBLANK(A986),"",VLOOKUP(A986,DOI_URL!$B$1:$C$74,2,FALSE()))</f>
        <v/>
      </c>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c r="AA986" s="22"/>
      <c r="AB986" s="22"/>
      <c r="AC986" s="22"/>
      <c r="AD986" s="22"/>
      <c r="AE986" s="22"/>
    </row>
    <row r="987">
      <c r="A987" s="22"/>
      <c r="B987" s="22" t="str">
        <f>IF(ISBLANK(A987),"",VLOOKUP(A987,DOI_URL!$B$1:$C$74,2,FALSE()))</f>
        <v/>
      </c>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c r="AA987" s="22"/>
      <c r="AB987" s="22"/>
      <c r="AC987" s="22"/>
      <c r="AD987" s="22"/>
      <c r="AE987" s="22"/>
    </row>
    <row r="988">
      <c r="A988" s="22"/>
      <c r="B988" s="22" t="str">
        <f>IF(ISBLANK(A988),"",VLOOKUP(A988,DOI_URL!$B$1:$C$74,2,FALSE()))</f>
        <v/>
      </c>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c r="AA988" s="22"/>
      <c r="AB988" s="22"/>
      <c r="AC988" s="22"/>
      <c r="AD988" s="22"/>
      <c r="AE988" s="22"/>
    </row>
    <row r="989">
      <c r="A989" s="22"/>
      <c r="B989" s="22" t="str">
        <f>IF(ISBLANK(A989),"",VLOOKUP(A989,DOI_URL!$B$1:$C$74,2,FALSE()))</f>
        <v/>
      </c>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c r="AA989" s="22"/>
      <c r="AB989" s="22"/>
      <c r="AC989" s="22"/>
      <c r="AD989" s="22"/>
      <c r="AE989" s="22"/>
    </row>
    <row r="990">
      <c r="A990" s="22"/>
      <c r="B990" s="22" t="str">
        <f>IF(ISBLANK(A990),"",VLOOKUP(A990,DOI_URL!$B$1:$C$74,2,FALSE()))</f>
        <v/>
      </c>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c r="AA990" s="22"/>
      <c r="AB990" s="22"/>
      <c r="AC990" s="22"/>
      <c r="AD990" s="22"/>
      <c r="AE990" s="22"/>
    </row>
    <row r="991">
      <c r="A991" s="22"/>
      <c r="B991" s="22" t="str">
        <f>IF(ISBLANK(A991),"",VLOOKUP(A991,DOI_URL!$B$1:$C$74,2,FALSE()))</f>
        <v/>
      </c>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c r="AA991" s="22"/>
      <c r="AB991" s="22"/>
      <c r="AC991" s="22"/>
      <c r="AD991" s="22"/>
      <c r="AE991" s="22"/>
    </row>
    <row r="992">
      <c r="A992" s="22"/>
      <c r="B992" s="22" t="str">
        <f>IF(ISBLANK(A992),"",VLOOKUP(A992,DOI_URL!$B$1:$C$74,2,FALSE()))</f>
        <v/>
      </c>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c r="AA992" s="22"/>
      <c r="AB992" s="22"/>
      <c r="AC992" s="22"/>
      <c r="AD992" s="22"/>
      <c r="AE992" s="22"/>
    </row>
    <row r="993">
      <c r="A993" s="22"/>
      <c r="B993" s="22" t="str">
        <f>IF(ISBLANK(A993),"",VLOOKUP(A993,DOI_URL!$B$1:$C$74,2,FALSE()))</f>
        <v/>
      </c>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c r="AA993" s="22"/>
      <c r="AB993" s="22"/>
      <c r="AC993" s="22"/>
      <c r="AD993" s="22"/>
      <c r="AE993" s="22"/>
    </row>
    <row r="994">
      <c r="A994" s="22"/>
      <c r="B994" s="22" t="str">
        <f>IF(ISBLANK(A994),"",VLOOKUP(A994,DOI_URL!$B$1:$C$74,2,FALSE()))</f>
        <v/>
      </c>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c r="AA994" s="22"/>
      <c r="AB994" s="22"/>
      <c r="AC994" s="22"/>
      <c r="AD994" s="22"/>
      <c r="AE994" s="22"/>
    </row>
    <row r="995">
      <c r="A995" s="22"/>
      <c r="B995" s="22" t="str">
        <f>IF(ISBLANK(A995),"",VLOOKUP(A995,DOI_URL!$B$1:$C$74,2,FALSE()))</f>
        <v/>
      </c>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c r="AA995" s="22"/>
      <c r="AB995" s="22"/>
      <c r="AC995" s="22"/>
      <c r="AD995" s="22"/>
      <c r="AE995" s="22"/>
    </row>
    <row r="996">
      <c r="A996" s="22"/>
      <c r="B996" s="22" t="str">
        <f>IF(ISBLANK(A996),"",VLOOKUP(A996,DOI_URL!$B$1:$C$74,2,FALSE()))</f>
        <v/>
      </c>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c r="AA996" s="22"/>
      <c r="AB996" s="22"/>
      <c r="AC996" s="22"/>
      <c r="AD996" s="22"/>
      <c r="AE996" s="22"/>
    </row>
    <row r="997">
      <c r="A997" s="22"/>
      <c r="B997" s="22" t="str">
        <f>IF(ISBLANK(A997),"",VLOOKUP(A997,DOI_URL!$B$1:$C$74,2,FALSE()))</f>
        <v/>
      </c>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c r="AA997" s="22"/>
      <c r="AB997" s="22"/>
      <c r="AC997" s="22"/>
      <c r="AD997" s="22"/>
      <c r="AE997" s="22"/>
    </row>
    <row r="998">
      <c r="A998" s="22"/>
      <c r="B998" s="22" t="str">
        <f>IF(ISBLANK(A998),"",VLOOKUP(A998,DOI_URL!$B$1:$C$74,2,FALSE()))</f>
        <v/>
      </c>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c r="AA998" s="22"/>
      <c r="AB998" s="22"/>
      <c r="AC998" s="22"/>
      <c r="AD998" s="22"/>
      <c r="AE998" s="22"/>
    </row>
    <row r="999">
      <c r="A999" s="22"/>
      <c r="B999" s="22" t="str">
        <f>IF(ISBLANK(A999),"",VLOOKUP(A999,DOI_URL!$B$1:$C$74,2,FALSE()))</f>
        <v/>
      </c>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c r="AA999" s="22"/>
      <c r="AB999" s="22"/>
      <c r="AC999" s="22"/>
      <c r="AD999" s="22"/>
      <c r="AE999" s="22"/>
    </row>
    <row r="1000">
      <c r="A1000" s="22"/>
      <c r="B1000" s="22" t="str">
        <f>IF(ISBLANK(A1000),"",VLOOKUP(A1000,DOI_URL!$B$1:$C$74,2,FALSE()))</f>
        <v/>
      </c>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c r="AA1000" s="22"/>
      <c r="AB1000" s="22"/>
      <c r="AC1000" s="22"/>
      <c r="AD1000" s="22"/>
      <c r="AE1000" s="22"/>
    </row>
    <row r="1001">
      <c r="A1001" s="22"/>
      <c r="B1001" s="22" t="str">
        <f>IF(ISBLANK(A1001),"",VLOOKUP(A1001,DOI_URL!$B$1:$C$74,2,FALSE()))</f>
        <v/>
      </c>
      <c r="C1001" s="22"/>
      <c r="D1001" s="22"/>
      <c r="E1001" s="22"/>
      <c r="F1001" s="22"/>
      <c r="G1001" s="22"/>
      <c r="H1001" s="22"/>
      <c r="I1001" s="22"/>
      <c r="J1001" s="22"/>
      <c r="K1001" s="22"/>
      <c r="L1001" s="22"/>
      <c r="M1001" s="22"/>
      <c r="N1001" s="22"/>
      <c r="O1001" s="22"/>
      <c r="P1001" s="22"/>
      <c r="Q1001" s="22"/>
      <c r="R1001" s="22"/>
      <c r="S1001" s="22"/>
      <c r="T1001" s="22"/>
      <c r="U1001" s="22"/>
      <c r="V1001" s="22"/>
      <c r="W1001" s="22"/>
      <c r="X1001" s="22"/>
      <c r="Y1001" s="22"/>
      <c r="Z1001" s="22"/>
      <c r="AA1001" s="22"/>
      <c r="AB1001" s="22"/>
      <c r="AC1001" s="22"/>
      <c r="AD1001" s="22"/>
      <c r="AE1001" s="22"/>
    </row>
    <row r="1002">
      <c r="A1002" s="22"/>
      <c r="B1002" s="22" t="str">
        <f>IF(ISBLANK(A1002),"",VLOOKUP(A1002,DOI_URL!$B$1:$C$74,2,FALSE()))</f>
        <v/>
      </c>
      <c r="C1002" s="22"/>
      <c r="D1002" s="22"/>
      <c r="E1002" s="22"/>
      <c r="F1002" s="22"/>
      <c r="G1002" s="22"/>
      <c r="H1002" s="22"/>
      <c r="I1002" s="22"/>
      <c r="J1002" s="22"/>
      <c r="K1002" s="22"/>
      <c r="L1002" s="22"/>
      <c r="M1002" s="22"/>
      <c r="N1002" s="22"/>
      <c r="O1002" s="22"/>
      <c r="P1002" s="22"/>
      <c r="Q1002" s="22"/>
      <c r="R1002" s="22"/>
      <c r="S1002" s="22"/>
      <c r="T1002" s="22"/>
      <c r="U1002" s="22"/>
      <c r="V1002" s="22"/>
      <c r="W1002" s="22"/>
      <c r="X1002" s="22"/>
      <c r="Y1002" s="22"/>
      <c r="Z1002" s="22"/>
      <c r="AA1002" s="22"/>
      <c r="AB1002" s="22"/>
      <c r="AC1002" s="22"/>
      <c r="AD1002" s="22"/>
      <c r="AE1002" s="22"/>
    </row>
    <row r="1003">
      <c r="A1003" s="22"/>
      <c r="B1003" s="22" t="str">
        <f>IF(ISBLANK(A1003),"",VLOOKUP(A1003,DOI_URL!$B$1:$C$74,2,FALSE()))</f>
        <v/>
      </c>
      <c r="C1003" s="22"/>
      <c r="D1003" s="22"/>
      <c r="E1003" s="22"/>
      <c r="F1003" s="22"/>
      <c r="G1003" s="22"/>
      <c r="H1003" s="22"/>
      <c r="I1003" s="22"/>
      <c r="J1003" s="22"/>
      <c r="K1003" s="22"/>
      <c r="L1003" s="22"/>
      <c r="M1003" s="22"/>
      <c r="N1003" s="22"/>
      <c r="O1003" s="22"/>
      <c r="P1003" s="22"/>
      <c r="Q1003" s="22"/>
      <c r="R1003" s="22"/>
      <c r="S1003" s="22"/>
      <c r="T1003" s="22"/>
      <c r="U1003" s="22"/>
      <c r="V1003" s="22"/>
      <c r="W1003" s="22"/>
      <c r="X1003" s="22"/>
      <c r="Y1003" s="22"/>
      <c r="Z1003" s="22"/>
      <c r="AA1003" s="22"/>
      <c r="AB1003" s="22"/>
      <c r="AC1003" s="22"/>
      <c r="AD1003" s="22"/>
      <c r="AE1003" s="22"/>
    </row>
    <row r="1004">
      <c r="A1004" s="22"/>
      <c r="B1004" s="22" t="str">
        <f>IF(ISBLANK(A1004),"",VLOOKUP(A1004,DOI_URL!$B$1:$C$74,2,FALSE()))</f>
        <v/>
      </c>
      <c r="C1004" s="22"/>
      <c r="D1004" s="22"/>
      <c r="E1004" s="22"/>
      <c r="F1004" s="22"/>
      <c r="G1004" s="22"/>
      <c r="H1004" s="22"/>
      <c r="I1004" s="22"/>
      <c r="J1004" s="22"/>
      <c r="K1004" s="22"/>
      <c r="L1004" s="22"/>
      <c r="M1004" s="22"/>
      <c r="N1004" s="22"/>
      <c r="O1004" s="22"/>
      <c r="P1004" s="22"/>
      <c r="Q1004" s="22"/>
      <c r="R1004" s="22"/>
      <c r="S1004" s="22"/>
      <c r="T1004" s="22"/>
      <c r="U1004" s="22"/>
      <c r="V1004" s="22"/>
      <c r="W1004" s="22"/>
      <c r="X1004" s="22"/>
      <c r="Y1004" s="22"/>
      <c r="Z1004" s="22"/>
      <c r="AA1004" s="22"/>
      <c r="AB1004" s="22"/>
      <c r="AC1004" s="22"/>
      <c r="AD1004" s="22"/>
      <c r="AE1004" s="22"/>
    </row>
    <row r="1005">
      <c r="A1005" s="22"/>
      <c r="B1005" s="22" t="str">
        <f>IF(ISBLANK(A1005),"",VLOOKUP(A1005,DOI_URL!$B$1:$C$74,2,FALSE()))</f>
        <v/>
      </c>
      <c r="C1005" s="22"/>
      <c r="D1005" s="22"/>
      <c r="E1005" s="22"/>
      <c r="F1005" s="22"/>
      <c r="G1005" s="22"/>
      <c r="H1005" s="22"/>
      <c r="I1005" s="22"/>
      <c r="J1005" s="22"/>
      <c r="K1005" s="22"/>
      <c r="L1005" s="22"/>
      <c r="M1005" s="22"/>
      <c r="N1005" s="22"/>
      <c r="O1005" s="22"/>
      <c r="P1005" s="22"/>
      <c r="Q1005" s="22"/>
      <c r="R1005" s="22"/>
      <c r="S1005" s="22"/>
      <c r="T1005" s="22"/>
      <c r="U1005" s="22"/>
      <c r="V1005" s="22"/>
      <c r="W1005" s="22"/>
      <c r="X1005" s="22"/>
      <c r="Y1005" s="22"/>
      <c r="Z1005" s="22"/>
      <c r="AA1005" s="22"/>
      <c r="AB1005" s="22"/>
      <c r="AC1005" s="22"/>
      <c r="AD1005" s="22"/>
      <c r="AE1005" s="22"/>
    </row>
    <row r="1006">
      <c r="A1006" s="22"/>
      <c r="B1006" s="22" t="str">
        <f>IF(ISBLANK(A1006),"",VLOOKUP(A1006,DOI_URL!$B$1:$C$74,2,FALSE()))</f>
        <v/>
      </c>
      <c r="C1006" s="22"/>
      <c r="D1006" s="22"/>
      <c r="E1006" s="22"/>
      <c r="F1006" s="22"/>
      <c r="G1006" s="22"/>
      <c r="H1006" s="22"/>
      <c r="I1006" s="22"/>
      <c r="J1006" s="22"/>
      <c r="K1006" s="22"/>
      <c r="L1006" s="22"/>
      <c r="M1006" s="22"/>
      <c r="N1006" s="22"/>
      <c r="O1006" s="22"/>
      <c r="P1006" s="22"/>
      <c r="Q1006" s="22"/>
      <c r="R1006" s="22"/>
      <c r="S1006" s="22"/>
      <c r="T1006" s="22"/>
      <c r="U1006" s="22"/>
      <c r="V1006" s="22"/>
      <c r="W1006" s="22"/>
      <c r="X1006" s="22"/>
      <c r="Y1006" s="22"/>
      <c r="Z1006" s="22"/>
      <c r="AA1006" s="22"/>
      <c r="AB1006" s="22"/>
      <c r="AC1006" s="22"/>
      <c r="AD1006" s="22"/>
      <c r="AE1006" s="22"/>
    </row>
    <row r="1007">
      <c r="A1007" s="22"/>
      <c r="B1007" s="22" t="str">
        <f>IF(ISBLANK(A1007),"",VLOOKUP(A1007,DOI_URL!$B$1:$C$74,2,FALSE()))</f>
        <v/>
      </c>
      <c r="C1007" s="22"/>
      <c r="D1007" s="22"/>
      <c r="E1007" s="22"/>
      <c r="F1007" s="22"/>
      <c r="G1007" s="22"/>
      <c r="H1007" s="22"/>
      <c r="I1007" s="22"/>
      <c r="J1007" s="22"/>
      <c r="K1007" s="22"/>
      <c r="L1007" s="22"/>
      <c r="M1007" s="22"/>
      <c r="N1007" s="22"/>
      <c r="O1007" s="22"/>
      <c r="P1007" s="22"/>
      <c r="Q1007" s="22"/>
      <c r="R1007" s="22"/>
      <c r="S1007" s="22"/>
      <c r="T1007" s="22"/>
      <c r="U1007" s="22"/>
      <c r="V1007" s="22"/>
      <c r="W1007" s="22"/>
      <c r="X1007" s="22"/>
      <c r="Y1007" s="22"/>
      <c r="Z1007" s="22"/>
      <c r="AA1007" s="22"/>
      <c r="AB1007" s="22"/>
      <c r="AC1007" s="22"/>
      <c r="AD1007" s="22"/>
      <c r="AE1007" s="22"/>
    </row>
    <row r="1008">
      <c r="A1008" s="22"/>
      <c r="B1008" s="22" t="str">
        <f>IF(ISBLANK(A1008),"",VLOOKUP(A1008,DOI_URL!$B$1:$C$74,2,FALSE()))</f>
        <v/>
      </c>
      <c r="C1008" s="22"/>
      <c r="D1008" s="22"/>
      <c r="E1008" s="22"/>
      <c r="F1008" s="22"/>
      <c r="G1008" s="22"/>
      <c r="H1008" s="22"/>
      <c r="I1008" s="22"/>
      <c r="J1008" s="22"/>
      <c r="K1008" s="22"/>
      <c r="L1008" s="22"/>
      <c r="M1008" s="22"/>
      <c r="N1008" s="22"/>
      <c r="O1008" s="22"/>
      <c r="P1008" s="22"/>
      <c r="Q1008" s="22"/>
      <c r="R1008" s="22"/>
      <c r="S1008" s="22"/>
      <c r="T1008" s="22"/>
      <c r="U1008" s="22"/>
      <c r="V1008" s="22"/>
      <c r="W1008" s="22"/>
      <c r="X1008" s="22"/>
      <c r="Y1008" s="22"/>
      <c r="Z1008" s="22"/>
      <c r="AA1008" s="22"/>
      <c r="AB1008" s="22"/>
      <c r="AC1008" s="22"/>
      <c r="AD1008" s="22"/>
      <c r="AE1008" s="22"/>
    </row>
    <row r="1009">
      <c r="A1009" s="22"/>
      <c r="B1009" s="22" t="str">
        <f>IF(ISBLANK(A1009),"",VLOOKUP(A1009,DOI_URL!$B$1:$C$74,2,FALSE()))</f>
        <v/>
      </c>
      <c r="C1009" s="22"/>
      <c r="D1009" s="22"/>
      <c r="E1009" s="22"/>
      <c r="F1009" s="22"/>
      <c r="G1009" s="22"/>
      <c r="H1009" s="22"/>
      <c r="I1009" s="22"/>
      <c r="J1009" s="22"/>
      <c r="K1009" s="22"/>
      <c r="L1009" s="22"/>
      <c r="M1009" s="22"/>
      <c r="N1009" s="22"/>
      <c r="O1009" s="22"/>
      <c r="P1009" s="22"/>
      <c r="Q1009" s="22"/>
      <c r="R1009" s="22"/>
      <c r="S1009" s="22"/>
      <c r="T1009" s="22"/>
      <c r="U1009" s="22"/>
      <c r="V1009" s="22"/>
      <c r="W1009" s="22"/>
      <c r="X1009" s="22"/>
      <c r="Y1009" s="22"/>
      <c r="Z1009" s="22"/>
      <c r="AA1009" s="22"/>
      <c r="AB1009" s="22"/>
      <c r="AC1009" s="22"/>
      <c r="AD1009" s="22"/>
      <c r="AE1009" s="22"/>
    </row>
    <row r="1010">
      <c r="A1010" s="22"/>
      <c r="B1010" s="22" t="str">
        <f>IF(ISBLANK(A1010),"",VLOOKUP(A1010,DOI_URL!$B$1:$C$74,2,FALSE()))</f>
        <v/>
      </c>
      <c r="C1010" s="22"/>
      <c r="D1010" s="22"/>
      <c r="E1010" s="22"/>
      <c r="F1010" s="22"/>
      <c r="G1010" s="22"/>
      <c r="H1010" s="22"/>
      <c r="I1010" s="22"/>
      <c r="J1010" s="22"/>
      <c r="K1010" s="22"/>
      <c r="L1010" s="22"/>
      <c r="M1010" s="22"/>
      <c r="N1010" s="22"/>
      <c r="O1010" s="22"/>
      <c r="P1010" s="22"/>
      <c r="Q1010" s="22"/>
      <c r="R1010" s="22"/>
      <c r="S1010" s="22"/>
      <c r="T1010" s="22"/>
      <c r="U1010" s="22"/>
      <c r="V1010" s="22"/>
      <c r="W1010" s="22"/>
      <c r="X1010" s="22"/>
      <c r="Y1010" s="22"/>
      <c r="Z1010" s="22"/>
      <c r="AA1010" s="22"/>
      <c r="AB1010" s="22"/>
      <c r="AC1010" s="22"/>
      <c r="AD1010" s="22"/>
      <c r="AE1010" s="22"/>
    </row>
    <row r="1011">
      <c r="A1011" s="22"/>
      <c r="B1011" s="22" t="str">
        <f>IF(ISBLANK(A1011),"",VLOOKUP(A1011,DOI_URL!$B$1:$C$74,2,FALSE()))</f>
        <v/>
      </c>
      <c r="C1011" s="22"/>
      <c r="D1011" s="22"/>
      <c r="E1011" s="22"/>
      <c r="F1011" s="22"/>
      <c r="G1011" s="22"/>
      <c r="H1011" s="22"/>
      <c r="I1011" s="22"/>
      <c r="J1011" s="22"/>
      <c r="K1011" s="22"/>
      <c r="L1011" s="22"/>
      <c r="M1011" s="22"/>
      <c r="N1011" s="22"/>
      <c r="O1011" s="22"/>
      <c r="P1011" s="22"/>
      <c r="Q1011" s="22"/>
      <c r="R1011" s="22"/>
      <c r="S1011" s="22"/>
      <c r="T1011" s="22"/>
      <c r="U1011" s="22"/>
      <c r="V1011" s="22"/>
      <c r="W1011" s="22"/>
      <c r="X1011" s="22"/>
      <c r="Y1011" s="22"/>
      <c r="Z1011" s="22"/>
      <c r="AA1011" s="22"/>
      <c r="AB1011" s="22"/>
      <c r="AC1011" s="22"/>
      <c r="AD1011" s="22"/>
      <c r="AE1011" s="22"/>
    </row>
    <row r="1012">
      <c r="A1012" s="22"/>
      <c r="B1012" s="22" t="str">
        <f>IF(ISBLANK(A1012),"",VLOOKUP(A1012,DOI_URL!$B$1:$C$74,2,FALSE()))</f>
        <v/>
      </c>
      <c r="C1012" s="22"/>
      <c r="D1012" s="22"/>
      <c r="E1012" s="22"/>
      <c r="F1012" s="22"/>
      <c r="G1012" s="22"/>
      <c r="H1012" s="22"/>
      <c r="I1012" s="22"/>
      <c r="J1012" s="22"/>
      <c r="K1012" s="22"/>
      <c r="L1012" s="22"/>
      <c r="M1012" s="22"/>
      <c r="N1012" s="22"/>
      <c r="O1012" s="22"/>
      <c r="P1012" s="22"/>
      <c r="Q1012" s="22"/>
      <c r="R1012" s="22"/>
      <c r="S1012" s="22"/>
      <c r="T1012" s="22"/>
      <c r="U1012" s="22"/>
      <c r="V1012" s="22"/>
      <c r="W1012" s="22"/>
      <c r="X1012" s="22"/>
      <c r="Y1012" s="22"/>
      <c r="Z1012" s="22"/>
      <c r="AA1012" s="22"/>
      <c r="AB1012" s="22"/>
      <c r="AC1012" s="22"/>
      <c r="AD1012" s="22"/>
      <c r="AE1012" s="22"/>
    </row>
    <row r="1013">
      <c r="A1013" s="22"/>
      <c r="B1013" s="22" t="str">
        <f>IF(ISBLANK(A1013),"",VLOOKUP(A1013,DOI_URL!$B$1:$C$74,2,FALSE()))</f>
        <v/>
      </c>
      <c r="C1013" s="22"/>
      <c r="D1013" s="22"/>
      <c r="E1013" s="22"/>
      <c r="F1013" s="22"/>
      <c r="G1013" s="22"/>
      <c r="H1013" s="22"/>
      <c r="I1013" s="22"/>
      <c r="J1013" s="22"/>
      <c r="K1013" s="22"/>
      <c r="L1013" s="22"/>
      <c r="M1013" s="22"/>
      <c r="N1013" s="22"/>
      <c r="O1013" s="22"/>
      <c r="P1013" s="22"/>
      <c r="Q1013" s="22"/>
      <c r="R1013" s="22"/>
      <c r="S1013" s="22"/>
      <c r="T1013" s="22"/>
      <c r="U1013" s="22"/>
      <c r="V1013" s="22"/>
      <c r="W1013" s="22"/>
      <c r="X1013" s="22"/>
      <c r="Y1013" s="22"/>
      <c r="Z1013" s="22"/>
      <c r="AA1013" s="22"/>
      <c r="AB1013" s="22"/>
      <c r="AC1013" s="22"/>
      <c r="AD1013" s="22"/>
      <c r="AE1013" s="22"/>
    </row>
    <row r="1014">
      <c r="A1014" s="22"/>
      <c r="B1014" s="22" t="str">
        <f>IF(ISBLANK(A1014),"",VLOOKUP(A1014,DOI_URL!$B$1:$C$74,2,FALSE()))</f>
        <v/>
      </c>
      <c r="C1014" s="22"/>
      <c r="D1014" s="22"/>
      <c r="E1014" s="22"/>
      <c r="F1014" s="22"/>
      <c r="G1014" s="22"/>
      <c r="H1014" s="22"/>
      <c r="I1014" s="22"/>
      <c r="J1014" s="22"/>
      <c r="K1014" s="22"/>
      <c r="L1014" s="22"/>
      <c r="M1014" s="22"/>
      <c r="N1014" s="22"/>
      <c r="O1014" s="22"/>
      <c r="P1014" s="22"/>
      <c r="Q1014" s="22"/>
      <c r="R1014" s="22"/>
      <c r="S1014" s="22"/>
      <c r="T1014" s="22"/>
      <c r="U1014" s="22"/>
      <c r="V1014" s="22"/>
      <c r="W1014" s="22"/>
      <c r="X1014" s="22"/>
      <c r="Y1014" s="22"/>
      <c r="Z1014" s="22"/>
      <c r="AA1014" s="22"/>
      <c r="AB1014" s="22"/>
      <c r="AC1014" s="22"/>
      <c r="AD1014" s="22"/>
      <c r="AE1014" s="22"/>
    </row>
    <row r="1015">
      <c r="A1015" s="22"/>
      <c r="B1015" s="22" t="str">
        <f>IF(ISBLANK(A1015),"",VLOOKUP(A1015,DOI_URL!$B$1:$C$74,2,FALSE()))</f>
        <v/>
      </c>
      <c r="C1015" s="22"/>
      <c r="D1015" s="22"/>
      <c r="E1015" s="22"/>
      <c r="F1015" s="22"/>
      <c r="G1015" s="22"/>
      <c r="H1015" s="22"/>
      <c r="I1015" s="22"/>
      <c r="J1015" s="22"/>
      <c r="K1015" s="22"/>
      <c r="L1015" s="22"/>
      <c r="M1015" s="22"/>
      <c r="N1015" s="22"/>
      <c r="O1015" s="22"/>
      <c r="P1015" s="22"/>
      <c r="Q1015" s="22"/>
      <c r="R1015" s="22"/>
      <c r="S1015" s="22"/>
      <c r="T1015" s="22"/>
      <c r="U1015" s="22"/>
      <c r="V1015" s="22"/>
      <c r="W1015" s="22"/>
      <c r="X1015" s="22"/>
      <c r="Y1015" s="22"/>
      <c r="Z1015" s="22"/>
      <c r="AA1015" s="22"/>
      <c r="AB1015" s="22"/>
      <c r="AC1015" s="22"/>
      <c r="AD1015" s="22"/>
      <c r="AE1015" s="22"/>
    </row>
    <row r="1016">
      <c r="A1016" s="22"/>
      <c r="B1016" s="22" t="str">
        <f>IF(ISBLANK(A1016),"",VLOOKUP(A1016,DOI_URL!$B$1:$C$74,2,FALSE()))</f>
        <v/>
      </c>
      <c r="C1016" s="22"/>
      <c r="D1016" s="22"/>
      <c r="E1016" s="22"/>
      <c r="F1016" s="22"/>
      <c r="G1016" s="22"/>
      <c r="H1016" s="22"/>
      <c r="I1016" s="22"/>
      <c r="J1016" s="22"/>
      <c r="K1016" s="22"/>
      <c r="L1016" s="22"/>
      <c r="M1016" s="22"/>
      <c r="N1016" s="22"/>
      <c r="O1016" s="22"/>
      <c r="P1016" s="22"/>
      <c r="Q1016" s="22"/>
      <c r="R1016" s="22"/>
      <c r="S1016" s="22"/>
      <c r="T1016" s="22"/>
      <c r="U1016" s="22"/>
      <c r="V1016" s="22"/>
      <c r="W1016" s="22"/>
      <c r="X1016" s="22"/>
      <c r="Y1016" s="22"/>
      <c r="Z1016" s="22"/>
      <c r="AA1016" s="22"/>
      <c r="AB1016" s="22"/>
      <c r="AC1016" s="22"/>
      <c r="AD1016" s="22"/>
      <c r="AE1016" s="22"/>
    </row>
    <row r="1017">
      <c r="A1017" s="22"/>
      <c r="B1017" s="22" t="str">
        <f>IF(ISBLANK(A1017),"",VLOOKUP(A1017,DOI_URL!$B$1:$C$74,2,FALSE()))</f>
        <v/>
      </c>
      <c r="C1017" s="22"/>
      <c r="D1017" s="22"/>
      <c r="E1017" s="22"/>
      <c r="F1017" s="22"/>
      <c r="G1017" s="22"/>
      <c r="H1017" s="22"/>
      <c r="I1017" s="22"/>
      <c r="J1017" s="22"/>
      <c r="K1017" s="22"/>
      <c r="L1017" s="22"/>
      <c r="M1017" s="22"/>
      <c r="N1017" s="22"/>
      <c r="O1017" s="22"/>
      <c r="P1017" s="22"/>
      <c r="Q1017" s="22"/>
      <c r="R1017" s="22"/>
      <c r="S1017" s="22"/>
      <c r="T1017" s="22"/>
      <c r="U1017" s="22"/>
      <c r="V1017" s="22"/>
      <c r="W1017" s="22"/>
      <c r="X1017" s="22"/>
      <c r="Y1017" s="22"/>
      <c r="Z1017" s="22"/>
      <c r="AA1017" s="22"/>
      <c r="AB1017" s="22"/>
      <c r="AC1017" s="22"/>
      <c r="AD1017" s="22"/>
      <c r="AE1017" s="22"/>
    </row>
    <row r="1018">
      <c r="A1018" s="22"/>
      <c r="B1018" s="22" t="str">
        <f>IF(ISBLANK(A1018),"",VLOOKUP(A1018,DOI_URL!$B$1:$C$74,2,FALSE()))</f>
        <v/>
      </c>
      <c r="C1018" s="22"/>
      <c r="D1018" s="22"/>
      <c r="E1018" s="22"/>
      <c r="F1018" s="22"/>
      <c r="G1018" s="22"/>
      <c r="H1018" s="22"/>
      <c r="I1018" s="22"/>
      <c r="J1018" s="22"/>
      <c r="K1018" s="22"/>
      <c r="L1018" s="22"/>
      <c r="M1018" s="22"/>
      <c r="N1018" s="22"/>
      <c r="O1018" s="22"/>
      <c r="P1018" s="22"/>
      <c r="Q1018" s="22"/>
      <c r="R1018" s="22"/>
      <c r="S1018" s="22"/>
      <c r="T1018" s="22"/>
      <c r="U1018" s="22"/>
      <c r="V1018" s="22"/>
      <c r="W1018" s="22"/>
      <c r="X1018" s="22"/>
      <c r="Y1018" s="22"/>
      <c r="Z1018" s="22"/>
      <c r="AA1018" s="22"/>
      <c r="AB1018" s="22"/>
      <c r="AC1018" s="22"/>
      <c r="AD1018" s="22"/>
      <c r="AE1018" s="22"/>
    </row>
    <row r="1019">
      <c r="A1019" s="22"/>
      <c r="B1019" s="22" t="str">
        <f>IF(ISBLANK(A1019),"",VLOOKUP(A1019,DOI_URL!$B$1:$C$74,2,FALSE()))</f>
        <v/>
      </c>
      <c r="C1019" s="22"/>
      <c r="D1019" s="22"/>
      <c r="E1019" s="22"/>
      <c r="F1019" s="22"/>
      <c r="G1019" s="22"/>
      <c r="H1019" s="22"/>
      <c r="I1019" s="22"/>
      <c r="J1019" s="22"/>
      <c r="K1019" s="22"/>
      <c r="L1019" s="22"/>
      <c r="M1019" s="22"/>
      <c r="N1019" s="22"/>
      <c r="O1019" s="22"/>
      <c r="P1019" s="22"/>
      <c r="Q1019" s="22"/>
      <c r="R1019" s="22"/>
      <c r="S1019" s="22"/>
      <c r="T1019" s="22"/>
      <c r="U1019" s="22"/>
      <c r="V1019" s="22"/>
      <c r="W1019" s="22"/>
      <c r="X1019" s="22"/>
      <c r="Y1019" s="22"/>
      <c r="Z1019" s="22"/>
      <c r="AA1019" s="22"/>
      <c r="AB1019" s="22"/>
      <c r="AC1019" s="22"/>
      <c r="AD1019" s="22"/>
      <c r="AE1019" s="22"/>
    </row>
    <row r="1020">
      <c r="A1020" s="22"/>
      <c r="B1020" s="22" t="str">
        <f>IF(ISBLANK(A1020),"",VLOOKUP(A1020,DOI_URL!$B$1:$C$74,2,FALSE()))</f>
        <v/>
      </c>
      <c r="C1020" s="22"/>
      <c r="D1020" s="22"/>
      <c r="E1020" s="22"/>
      <c r="F1020" s="22"/>
      <c r="G1020" s="22"/>
      <c r="H1020" s="22"/>
      <c r="I1020" s="22"/>
      <c r="J1020" s="22"/>
      <c r="K1020" s="22"/>
      <c r="L1020" s="22"/>
      <c r="M1020" s="22"/>
      <c r="N1020" s="22"/>
      <c r="O1020" s="22"/>
      <c r="P1020" s="22"/>
      <c r="Q1020" s="22"/>
      <c r="R1020" s="22"/>
      <c r="S1020" s="22"/>
      <c r="T1020" s="22"/>
      <c r="U1020" s="22"/>
      <c r="V1020" s="22"/>
      <c r="W1020" s="22"/>
      <c r="X1020" s="22"/>
      <c r="Y1020" s="22"/>
      <c r="Z1020" s="22"/>
      <c r="AA1020" s="22"/>
      <c r="AB1020" s="22"/>
      <c r="AC1020" s="22"/>
      <c r="AD1020" s="22"/>
      <c r="AE1020" s="22"/>
    </row>
    <row r="1021">
      <c r="A1021" s="22"/>
      <c r="B1021" s="22" t="str">
        <f>IF(ISBLANK(A1021),"",VLOOKUP(A1021,DOI_URL!$B$1:$C$74,2,FALSE()))</f>
        <v/>
      </c>
      <c r="C1021" s="22"/>
      <c r="D1021" s="22"/>
      <c r="E1021" s="22"/>
      <c r="F1021" s="22"/>
      <c r="G1021" s="22"/>
      <c r="H1021" s="22"/>
      <c r="I1021" s="22"/>
      <c r="J1021" s="22"/>
      <c r="K1021" s="22"/>
      <c r="L1021" s="22"/>
      <c r="M1021" s="22"/>
      <c r="N1021" s="22"/>
      <c r="O1021" s="22"/>
      <c r="P1021" s="22"/>
      <c r="Q1021" s="22"/>
      <c r="R1021" s="22"/>
      <c r="S1021" s="22"/>
      <c r="T1021" s="22"/>
      <c r="U1021" s="22"/>
      <c r="V1021" s="22"/>
      <c r="W1021" s="22"/>
      <c r="X1021" s="22"/>
      <c r="Y1021" s="22"/>
      <c r="Z1021" s="22"/>
      <c r="AA1021" s="22"/>
      <c r="AB1021" s="22"/>
      <c r="AC1021" s="22"/>
      <c r="AD1021" s="22"/>
      <c r="AE1021" s="22"/>
    </row>
    <row r="1022">
      <c r="A1022" s="22"/>
      <c r="B1022" s="22" t="str">
        <f>IF(ISBLANK(A1022),"",VLOOKUP(A1022,DOI_URL!$B$1:$C$74,2,FALSE()))</f>
        <v/>
      </c>
      <c r="C1022" s="22"/>
      <c r="D1022" s="22"/>
      <c r="E1022" s="22"/>
      <c r="F1022" s="22"/>
      <c r="G1022" s="22"/>
      <c r="H1022" s="22"/>
      <c r="I1022" s="22"/>
      <c r="J1022" s="22"/>
      <c r="K1022" s="22"/>
      <c r="L1022" s="22"/>
      <c r="M1022" s="22"/>
      <c r="N1022" s="22"/>
      <c r="O1022" s="22"/>
      <c r="P1022" s="22"/>
      <c r="Q1022" s="22"/>
      <c r="R1022" s="22"/>
      <c r="S1022" s="22"/>
      <c r="T1022" s="22"/>
      <c r="U1022" s="22"/>
      <c r="V1022" s="22"/>
      <c r="W1022" s="22"/>
      <c r="X1022" s="22"/>
      <c r="Y1022" s="22"/>
      <c r="Z1022" s="22"/>
      <c r="AA1022" s="22"/>
      <c r="AB1022" s="22"/>
      <c r="AC1022" s="22"/>
      <c r="AD1022" s="22"/>
      <c r="AE1022" s="22"/>
    </row>
    <row r="1023">
      <c r="A1023" s="22"/>
      <c r="B1023" s="22" t="str">
        <f>IF(ISBLANK(A1023),"",VLOOKUP(A1023,DOI_URL!$B$1:$C$74,2,FALSE()))</f>
        <v/>
      </c>
      <c r="C1023" s="22"/>
      <c r="D1023" s="22"/>
      <c r="E1023" s="22"/>
      <c r="F1023" s="22"/>
      <c r="G1023" s="22"/>
      <c r="H1023" s="22"/>
      <c r="I1023" s="22"/>
      <c r="J1023" s="22"/>
      <c r="K1023" s="22"/>
      <c r="L1023" s="22"/>
      <c r="M1023" s="22"/>
      <c r="N1023" s="22"/>
      <c r="O1023" s="22"/>
      <c r="P1023" s="22"/>
      <c r="Q1023" s="22"/>
      <c r="R1023" s="22"/>
      <c r="S1023" s="22"/>
      <c r="T1023" s="22"/>
      <c r="U1023" s="22"/>
      <c r="V1023" s="22"/>
      <c r="W1023" s="22"/>
      <c r="X1023" s="22"/>
      <c r="Y1023" s="22"/>
      <c r="Z1023" s="22"/>
      <c r="AA1023" s="22"/>
      <c r="AB1023" s="22"/>
      <c r="AC1023" s="22"/>
      <c r="AD1023" s="22"/>
      <c r="AE1023" s="22"/>
    </row>
    <row r="1024">
      <c r="A1024" s="22"/>
      <c r="B1024" s="22" t="str">
        <f>IF(ISBLANK(A1024),"",VLOOKUP(A1024,DOI_URL!$B$1:$C$74,2,FALSE()))</f>
        <v/>
      </c>
      <c r="C1024" s="22"/>
      <c r="D1024" s="22"/>
      <c r="E1024" s="22"/>
      <c r="F1024" s="22"/>
      <c r="G1024" s="22"/>
      <c r="H1024" s="22"/>
      <c r="I1024" s="22"/>
      <c r="J1024" s="22"/>
      <c r="K1024" s="22"/>
      <c r="L1024" s="22"/>
      <c r="M1024" s="22"/>
      <c r="N1024" s="22"/>
      <c r="O1024" s="22"/>
      <c r="P1024" s="22"/>
      <c r="Q1024" s="22"/>
      <c r="R1024" s="22"/>
      <c r="S1024" s="22"/>
      <c r="T1024" s="22"/>
      <c r="U1024" s="22"/>
      <c r="V1024" s="22"/>
      <c r="W1024" s="22"/>
      <c r="X1024" s="22"/>
      <c r="Y1024" s="22"/>
      <c r="Z1024" s="22"/>
      <c r="AA1024" s="22"/>
      <c r="AB1024" s="22"/>
      <c r="AC1024" s="22"/>
      <c r="AD1024" s="22"/>
      <c r="AE1024" s="22"/>
    </row>
    <row r="1025">
      <c r="A1025" s="22"/>
      <c r="B1025" s="22" t="str">
        <f>IF(ISBLANK(A1025),"",VLOOKUP(A1025,DOI_URL!$B$1:$C$74,2,FALSE()))</f>
        <v/>
      </c>
      <c r="C1025" s="22"/>
      <c r="D1025" s="22"/>
      <c r="E1025" s="22"/>
      <c r="F1025" s="22"/>
      <c r="G1025" s="22"/>
      <c r="H1025" s="22"/>
      <c r="I1025" s="22"/>
      <c r="J1025" s="22"/>
      <c r="K1025" s="22"/>
      <c r="L1025" s="22"/>
      <c r="M1025" s="22"/>
      <c r="N1025" s="22"/>
      <c r="O1025" s="22"/>
      <c r="P1025" s="22"/>
      <c r="Q1025" s="22"/>
      <c r="R1025" s="22"/>
      <c r="S1025" s="22"/>
      <c r="T1025" s="22"/>
      <c r="U1025" s="22"/>
      <c r="V1025" s="22"/>
      <c r="W1025" s="22"/>
      <c r="X1025" s="22"/>
      <c r="Y1025" s="22"/>
      <c r="Z1025" s="22"/>
      <c r="AA1025" s="22"/>
      <c r="AB1025" s="22"/>
      <c r="AC1025" s="22"/>
      <c r="AD1025" s="22"/>
      <c r="AE1025" s="22"/>
    </row>
    <row r="1026">
      <c r="A1026" s="22"/>
      <c r="B1026" s="22" t="str">
        <f>IF(ISBLANK(A1026),"",VLOOKUP(A1026,DOI_URL!$B$1:$C$74,2,FALSE()))</f>
        <v/>
      </c>
      <c r="C1026" s="22"/>
      <c r="D1026" s="22"/>
      <c r="E1026" s="22"/>
      <c r="F1026" s="22"/>
      <c r="G1026" s="22"/>
      <c r="H1026" s="22"/>
      <c r="I1026" s="22"/>
      <c r="J1026" s="22"/>
      <c r="K1026" s="22"/>
      <c r="L1026" s="22"/>
      <c r="M1026" s="22"/>
      <c r="N1026" s="22"/>
      <c r="O1026" s="22"/>
      <c r="P1026" s="22"/>
      <c r="Q1026" s="22"/>
      <c r="R1026" s="22"/>
      <c r="S1026" s="22"/>
      <c r="T1026" s="22"/>
      <c r="U1026" s="22"/>
      <c r="V1026" s="22"/>
      <c r="W1026" s="22"/>
      <c r="X1026" s="22"/>
      <c r="Y1026" s="22"/>
      <c r="Z1026" s="22"/>
      <c r="AA1026" s="22"/>
      <c r="AB1026" s="22"/>
      <c r="AC1026" s="22"/>
      <c r="AD1026" s="22"/>
      <c r="AE1026" s="22"/>
    </row>
    <row r="1027">
      <c r="A1027" s="22"/>
      <c r="B1027" s="22" t="str">
        <f>IF(ISBLANK(A1027),"",VLOOKUP(A1027,DOI_URL!$B$1:$C$74,2,FALSE()))</f>
        <v/>
      </c>
      <c r="C1027" s="22"/>
      <c r="D1027" s="22"/>
      <c r="E1027" s="22"/>
      <c r="F1027" s="22"/>
      <c r="G1027" s="22"/>
      <c r="H1027" s="22"/>
      <c r="I1027" s="22"/>
      <c r="J1027" s="22"/>
      <c r="K1027" s="22"/>
      <c r="L1027" s="22"/>
      <c r="M1027" s="22"/>
      <c r="N1027" s="22"/>
      <c r="O1027" s="22"/>
      <c r="P1027" s="22"/>
      <c r="Q1027" s="22"/>
      <c r="R1027" s="22"/>
      <c r="S1027" s="22"/>
      <c r="T1027" s="22"/>
      <c r="U1027" s="22"/>
      <c r="V1027" s="22"/>
      <c r="W1027" s="22"/>
      <c r="X1027" s="22"/>
      <c r="Y1027" s="22"/>
      <c r="Z1027" s="22"/>
      <c r="AA1027" s="22"/>
      <c r="AB1027" s="22"/>
      <c r="AC1027" s="22"/>
      <c r="AD1027" s="22"/>
      <c r="AE1027" s="22"/>
    </row>
    <row r="1028">
      <c r="A1028" s="22"/>
      <c r="B1028" s="22" t="str">
        <f>IF(ISBLANK(A1028),"",VLOOKUP(A1028,DOI_URL!$B$1:$C$74,2,FALSE()))</f>
        <v/>
      </c>
      <c r="C1028" s="22"/>
      <c r="D1028" s="22"/>
      <c r="E1028" s="22"/>
      <c r="F1028" s="22"/>
      <c r="G1028" s="22"/>
      <c r="H1028" s="22"/>
      <c r="I1028" s="22"/>
      <c r="J1028" s="22"/>
      <c r="K1028" s="22"/>
      <c r="L1028" s="22"/>
      <c r="M1028" s="22"/>
      <c r="N1028" s="22"/>
      <c r="O1028" s="22"/>
      <c r="P1028" s="22"/>
      <c r="Q1028" s="22"/>
      <c r="R1028" s="22"/>
      <c r="S1028" s="22"/>
      <c r="T1028" s="22"/>
      <c r="U1028" s="22"/>
      <c r="V1028" s="22"/>
      <c r="W1028" s="22"/>
      <c r="X1028" s="22"/>
      <c r="Y1028" s="22"/>
      <c r="Z1028" s="22"/>
      <c r="AA1028" s="22"/>
      <c r="AB1028" s="22"/>
      <c r="AC1028" s="22"/>
      <c r="AD1028" s="22"/>
      <c r="AE1028" s="22"/>
    </row>
    <row r="1029">
      <c r="A1029" s="22"/>
      <c r="B1029" s="22" t="str">
        <f>IF(ISBLANK(A1029),"",VLOOKUP(A1029,DOI_URL!$B$1:$C$74,2,FALSE()))</f>
        <v/>
      </c>
      <c r="C1029" s="22"/>
      <c r="D1029" s="22"/>
      <c r="E1029" s="22"/>
      <c r="F1029" s="22"/>
      <c r="G1029" s="22"/>
      <c r="H1029" s="22"/>
      <c r="I1029" s="22"/>
      <c r="J1029" s="22"/>
      <c r="K1029" s="22"/>
      <c r="L1029" s="22"/>
      <c r="M1029" s="22"/>
      <c r="N1029" s="22"/>
      <c r="O1029" s="22"/>
      <c r="P1029" s="22"/>
      <c r="Q1029" s="22"/>
      <c r="R1029" s="22"/>
      <c r="S1029" s="22"/>
      <c r="T1029" s="22"/>
      <c r="U1029" s="22"/>
      <c r="V1029" s="22"/>
      <c r="W1029" s="22"/>
      <c r="X1029" s="22"/>
      <c r="Y1029" s="22"/>
      <c r="Z1029" s="22"/>
      <c r="AA1029" s="22"/>
      <c r="AB1029" s="22"/>
      <c r="AC1029" s="22"/>
      <c r="AD1029" s="22"/>
      <c r="AE1029" s="22"/>
    </row>
    <row r="1030">
      <c r="A1030" s="22"/>
      <c r="B1030" s="22" t="str">
        <f>IF(ISBLANK(A1030),"",VLOOKUP(A1030,DOI_URL!$B$1:$C$74,2,FALSE()))</f>
        <v/>
      </c>
      <c r="C1030" s="22"/>
      <c r="D1030" s="22"/>
      <c r="E1030" s="22"/>
      <c r="F1030" s="22"/>
      <c r="G1030" s="22"/>
      <c r="H1030" s="22"/>
      <c r="I1030" s="22"/>
      <c r="J1030" s="22"/>
      <c r="K1030" s="22"/>
      <c r="L1030" s="22"/>
      <c r="M1030" s="22"/>
      <c r="N1030" s="22"/>
      <c r="O1030" s="22"/>
      <c r="P1030" s="22"/>
      <c r="Q1030" s="22"/>
      <c r="R1030" s="22"/>
      <c r="S1030" s="22"/>
      <c r="T1030" s="22"/>
      <c r="U1030" s="22"/>
      <c r="V1030" s="22"/>
      <c r="W1030" s="22"/>
      <c r="X1030" s="22"/>
      <c r="Y1030" s="22"/>
      <c r="Z1030" s="22"/>
      <c r="AA1030" s="22"/>
      <c r="AB1030" s="22"/>
      <c r="AC1030" s="22"/>
      <c r="AD1030" s="22"/>
      <c r="AE1030" s="22"/>
    </row>
    <row r="1031">
      <c r="A1031" s="22"/>
      <c r="B1031" s="22" t="str">
        <f>IF(ISBLANK(A1031),"",VLOOKUP(A1031,DOI_URL!$B$1:$C$74,2,FALSE()))</f>
        <v/>
      </c>
      <c r="C1031" s="22"/>
      <c r="D1031" s="22"/>
      <c r="E1031" s="22"/>
      <c r="F1031" s="22"/>
      <c r="G1031" s="22"/>
      <c r="H1031" s="22"/>
      <c r="I1031" s="22"/>
      <c r="J1031" s="22"/>
      <c r="K1031" s="22"/>
      <c r="L1031" s="22"/>
      <c r="M1031" s="22"/>
      <c r="N1031" s="22"/>
      <c r="O1031" s="22"/>
      <c r="P1031" s="22"/>
      <c r="Q1031" s="22"/>
      <c r="R1031" s="22"/>
      <c r="S1031" s="22"/>
      <c r="T1031" s="22"/>
      <c r="U1031" s="22"/>
      <c r="V1031" s="22"/>
      <c r="W1031" s="22"/>
      <c r="X1031" s="22"/>
      <c r="Y1031" s="22"/>
      <c r="Z1031" s="22"/>
      <c r="AA1031" s="22"/>
      <c r="AB1031" s="22"/>
      <c r="AC1031" s="22"/>
      <c r="AD1031" s="22"/>
      <c r="AE1031" s="22"/>
    </row>
    <row r="1032">
      <c r="A1032" s="22"/>
      <c r="B1032" s="22" t="str">
        <f>IF(ISBLANK(A1032),"",VLOOKUP(A1032,DOI_URL!$B$1:$C$74,2,FALSE()))</f>
        <v/>
      </c>
      <c r="C1032" s="22"/>
      <c r="D1032" s="22"/>
      <c r="E1032" s="22"/>
      <c r="F1032" s="22"/>
      <c r="G1032" s="22"/>
      <c r="H1032" s="22"/>
      <c r="I1032" s="22"/>
      <c r="J1032" s="22"/>
      <c r="K1032" s="22"/>
      <c r="L1032" s="22"/>
      <c r="M1032" s="22"/>
      <c r="N1032" s="22"/>
      <c r="O1032" s="22"/>
      <c r="P1032" s="22"/>
      <c r="Q1032" s="22"/>
      <c r="R1032" s="22"/>
      <c r="S1032" s="22"/>
      <c r="T1032" s="22"/>
      <c r="U1032" s="22"/>
      <c r="V1032" s="22"/>
      <c r="W1032" s="22"/>
      <c r="X1032" s="22"/>
      <c r="Y1032" s="22"/>
      <c r="Z1032" s="22"/>
      <c r="AA1032" s="22"/>
      <c r="AB1032" s="22"/>
      <c r="AC1032" s="22"/>
      <c r="AD1032" s="22"/>
      <c r="AE1032" s="22"/>
    </row>
    <row r="1033">
      <c r="A1033" s="22"/>
      <c r="B1033" s="22" t="str">
        <f>IF(ISBLANK(A1033),"",VLOOKUP(A1033,DOI_URL!$B$1:$C$74,2,FALSE()))</f>
        <v/>
      </c>
      <c r="C1033" s="22"/>
      <c r="D1033" s="22"/>
      <c r="E1033" s="22"/>
      <c r="F1033" s="22"/>
      <c r="G1033" s="22"/>
      <c r="H1033" s="22"/>
      <c r="I1033" s="22"/>
      <c r="J1033" s="22"/>
      <c r="K1033" s="22"/>
      <c r="L1033" s="22"/>
      <c r="M1033" s="22"/>
      <c r="N1033" s="22"/>
      <c r="O1033" s="22"/>
      <c r="P1033" s="22"/>
      <c r="Q1033" s="22"/>
      <c r="R1033" s="22"/>
      <c r="S1033" s="22"/>
      <c r="T1033" s="22"/>
      <c r="U1033" s="22"/>
      <c r="V1033" s="22"/>
      <c r="W1033" s="22"/>
      <c r="X1033" s="22"/>
      <c r="Y1033" s="22"/>
      <c r="Z1033" s="22"/>
      <c r="AA1033" s="22"/>
      <c r="AB1033" s="22"/>
      <c r="AC1033" s="22"/>
      <c r="AD1033" s="22"/>
      <c r="AE1033" s="22"/>
    </row>
    <row r="1034">
      <c r="A1034" s="22"/>
      <c r="B1034" s="22" t="str">
        <f>IF(ISBLANK(A1034),"",VLOOKUP(A1034,DOI_URL!$B$1:$C$74,2,FALSE()))</f>
        <v/>
      </c>
      <c r="C1034" s="22"/>
      <c r="D1034" s="22"/>
      <c r="E1034" s="22"/>
      <c r="F1034" s="22"/>
      <c r="G1034" s="22"/>
      <c r="H1034" s="22"/>
      <c r="I1034" s="22"/>
      <c r="J1034" s="22"/>
      <c r="K1034" s="22"/>
      <c r="L1034" s="22"/>
      <c r="M1034" s="22"/>
      <c r="N1034" s="22"/>
      <c r="O1034" s="22"/>
      <c r="P1034" s="22"/>
      <c r="Q1034" s="22"/>
      <c r="R1034" s="22"/>
      <c r="S1034" s="22"/>
      <c r="T1034" s="22"/>
      <c r="U1034" s="22"/>
      <c r="V1034" s="22"/>
      <c r="W1034" s="22"/>
      <c r="X1034" s="22"/>
      <c r="Y1034" s="22"/>
      <c r="Z1034" s="22"/>
      <c r="AA1034" s="22"/>
      <c r="AB1034" s="22"/>
      <c r="AC1034" s="22"/>
      <c r="AD1034" s="22"/>
      <c r="AE1034" s="22"/>
    </row>
    <row r="1035">
      <c r="A1035" s="22"/>
      <c r="B1035" s="22" t="str">
        <f>IF(ISBLANK(A1035),"",VLOOKUP(A1035,DOI_URL!$B$1:$C$74,2,FALSE()))</f>
        <v/>
      </c>
      <c r="C1035" s="22"/>
      <c r="D1035" s="22"/>
      <c r="E1035" s="22"/>
      <c r="F1035" s="22"/>
      <c r="G1035" s="22"/>
      <c r="H1035" s="22"/>
      <c r="I1035" s="22"/>
      <c r="J1035" s="22"/>
      <c r="K1035" s="22"/>
      <c r="L1035" s="22"/>
      <c r="M1035" s="22"/>
      <c r="N1035" s="22"/>
      <c r="O1035" s="22"/>
      <c r="P1035" s="22"/>
      <c r="Q1035" s="22"/>
      <c r="R1035" s="22"/>
      <c r="S1035" s="22"/>
      <c r="T1035" s="22"/>
      <c r="U1035" s="22"/>
      <c r="V1035" s="22"/>
      <c r="W1035" s="22"/>
      <c r="X1035" s="22"/>
      <c r="Y1035" s="22"/>
      <c r="Z1035" s="22"/>
      <c r="AA1035" s="22"/>
      <c r="AB1035" s="22"/>
      <c r="AC1035" s="22"/>
      <c r="AD1035" s="22"/>
      <c r="AE1035" s="22"/>
    </row>
    <row r="1036">
      <c r="A1036" s="22"/>
      <c r="B1036" s="22" t="str">
        <f>IF(ISBLANK(A1036),"",VLOOKUP(A1036,DOI_URL!$B$1:$C$74,2,FALSE()))</f>
        <v/>
      </c>
      <c r="C1036" s="22"/>
      <c r="D1036" s="22"/>
      <c r="E1036" s="22"/>
      <c r="F1036" s="22"/>
      <c r="G1036" s="22"/>
      <c r="H1036" s="22"/>
      <c r="I1036" s="22"/>
      <c r="J1036" s="22"/>
      <c r="K1036" s="22"/>
      <c r="L1036" s="22"/>
      <c r="M1036" s="22"/>
      <c r="N1036" s="22"/>
      <c r="O1036" s="22"/>
      <c r="P1036" s="22"/>
      <c r="Q1036" s="22"/>
      <c r="R1036" s="22"/>
      <c r="S1036" s="22"/>
      <c r="T1036" s="22"/>
      <c r="U1036" s="22"/>
      <c r="V1036" s="22"/>
      <c r="W1036" s="22"/>
      <c r="X1036" s="22"/>
      <c r="Y1036" s="22"/>
      <c r="Z1036" s="22"/>
      <c r="AA1036" s="22"/>
      <c r="AB1036" s="22"/>
      <c r="AC1036" s="22"/>
      <c r="AD1036" s="22"/>
      <c r="AE1036" s="22"/>
    </row>
    <row r="1037">
      <c r="A1037" s="22"/>
      <c r="B1037" s="22" t="str">
        <f>IF(ISBLANK(A1037),"",VLOOKUP(A1037,DOI_URL!$B$1:$C$74,2,FALSE()))</f>
        <v/>
      </c>
      <c r="C1037" s="22"/>
      <c r="D1037" s="22"/>
      <c r="E1037" s="22"/>
      <c r="F1037" s="22"/>
      <c r="G1037" s="22"/>
      <c r="H1037" s="22"/>
      <c r="I1037" s="22"/>
      <c r="J1037" s="22"/>
      <c r="K1037" s="22"/>
      <c r="L1037" s="22"/>
      <c r="M1037" s="22"/>
      <c r="N1037" s="22"/>
      <c r="O1037" s="22"/>
      <c r="P1037" s="22"/>
      <c r="Q1037" s="22"/>
      <c r="R1037" s="22"/>
      <c r="S1037" s="22"/>
      <c r="T1037" s="22"/>
      <c r="U1037" s="22"/>
      <c r="V1037" s="22"/>
      <c r="W1037" s="22"/>
      <c r="X1037" s="22"/>
      <c r="Y1037" s="22"/>
      <c r="Z1037" s="22"/>
      <c r="AA1037" s="22"/>
      <c r="AB1037" s="22"/>
      <c r="AC1037" s="22"/>
      <c r="AD1037" s="22"/>
      <c r="AE1037" s="22"/>
    </row>
    <row r="1038">
      <c r="A1038" s="22"/>
      <c r="B1038" s="22" t="str">
        <f>IF(ISBLANK(A1038),"",VLOOKUP(A1038,DOI_URL!$B$1:$C$74,2,FALSE()))</f>
        <v/>
      </c>
      <c r="C1038" s="22"/>
      <c r="D1038" s="22"/>
      <c r="E1038" s="22"/>
      <c r="F1038" s="22"/>
      <c r="G1038" s="22"/>
      <c r="H1038" s="22"/>
      <c r="I1038" s="22"/>
      <c r="J1038" s="22"/>
      <c r="K1038" s="22"/>
      <c r="L1038" s="22"/>
      <c r="M1038" s="22"/>
      <c r="N1038" s="22"/>
      <c r="O1038" s="22"/>
      <c r="P1038" s="22"/>
      <c r="Q1038" s="22"/>
      <c r="R1038" s="22"/>
      <c r="S1038" s="22"/>
      <c r="T1038" s="22"/>
      <c r="U1038" s="22"/>
      <c r="V1038" s="22"/>
      <c r="W1038" s="22"/>
      <c r="X1038" s="22"/>
      <c r="Y1038" s="22"/>
      <c r="Z1038" s="22"/>
      <c r="AA1038" s="22"/>
      <c r="AB1038" s="22"/>
      <c r="AC1038" s="22"/>
      <c r="AD1038" s="22"/>
      <c r="AE1038" s="22"/>
    </row>
    <row r="1039">
      <c r="A1039" s="22"/>
      <c r="B1039" s="22" t="str">
        <f>IF(ISBLANK(A1039),"",VLOOKUP(A1039,DOI_URL!$B$1:$C$74,2,FALSE()))</f>
        <v/>
      </c>
      <c r="C1039" s="22"/>
      <c r="D1039" s="22"/>
      <c r="E1039" s="22"/>
      <c r="F1039" s="22"/>
      <c r="G1039" s="22"/>
      <c r="H1039" s="22"/>
      <c r="I1039" s="22"/>
      <c r="J1039" s="22"/>
      <c r="K1039" s="22"/>
      <c r="L1039" s="22"/>
      <c r="M1039" s="22"/>
      <c r="N1039" s="22"/>
      <c r="O1039" s="22"/>
      <c r="P1039" s="22"/>
      <c r="Q1039" s="22"/>
      <c r="R1039" s="22"/>
      <c r="S1039" s="22"/>
      <c r="T1039" s="22"/>
      <c r="U1039" s="22"/>
      <c r="V1039" s="22"/>
      <c r="W1039" s="22"/>
      <c r="X1039" s="22"/>
      <c r="Y1039" s="22"/>
      <c r="Z1039" s="22"/>
      <c r="AA1039" s="22"/>
      <c r="AB1039" s="22"/>
      <c r="AC1039" s="22"/>
      <c r="AD1039" s="22"/>
      <c r="AE1039" s="22"/>
    </row>
    <row r="1040">
      <c r="A1040" s="22"/>
      <c r="B1040" s="22" t="str">
        <f>IF(ISBLANK(A1040),"",VLOOKUP(A1040,DOI_URL!$B$1:$C$74,2,FALSE()))</f>
        <v/>
      </c>
      <c r="C1040" s="22"/>
      <c r="D1040" s="22"/>
      <c r="E1040" s="22"/>
      <c r="F1040" s="22"/>
      <c r="G1040" s="22"/>
      <c r="H1040" s="22"/>
      <c r="I1040" s="22"/>
      <c r="J1040" s="22"/>
      <c r="K1040" s="22"/>
      <c r="L1040" s="22"/>
      <c r="M1040" s="22"/>
      <c r="N1040" s="22"/>
      <c r="O1040" s="22"/>
      <c r="P1040" s="22"/>
      <c r="Q1040" s="22"/>
      <c r="R1040" s="22"/>
      <c r="S1040" s="22"/>
      <c r="T1040" s="22"/>
      <c r="U1040" s="22"/>
      <c r="V1040" s="22"/>
      <c r="W1040" s="22"/>
      <c r="X1040" s="22"/>
      <c r="Y1040" s="22"/>
      <c r="Z1040" s="22"/>
      <c r="AA1040" s="22"/>
      <c r="AB1040" s="22"/>
      <c r="AC1040" s="22"/>
      <c r="AD1040" s="22"/>
      <c r="AE1040" s="22"/>
    </row>
    <row r="1041">
      <c r="A1041" s="22"/>
      <c r="B1041" s="22" t="str">
        <f>IF(ISBLANK(A1041),"",VLOOKUP(A1041,DOI_URL!$B$1:$C$74,2,FALSE()))</f>
        <v/>
      </c>
      <c r="C1041" s="22"/>
      <c r="D1041" s="22"/>
      <c r="E1041" s="22"/>
      <c r="F1041" s="22"/>
      <c r="G1041" s="22"/>
      <c r="H1041" s="22"/>
      <c r="I1041" s="22"/>
      <c r="J1041" s="22"/>
      <c r="K1041" s="22"/>
      <c r="L1041" s="22"/>
      <c r="M1041" s="22"/>
      <c r="N1041" s="22"/>
      <c r="O1041" s="22"/>
      <c r="P1041" s="22"/>
      <c r="Q1041" s="22"/>
      <c r="R1041" s="22"/>
      <c r="S1041" s="22"/>
      <c r="T1041" s="22"/>
      <c r="U1041" s="22"/>
      <c r="V1041" s="22"/>
      <c r="W1041" s="22"/>
      <c r="X1041" s="22"/>
      <c r="Y1041" s="22"/>
      <c r="Z1041" s="22"/>
      <c r="AA1041" s="22"/>
      <c r="AB1041" s="22"/>
      <c r="AC1041" s="22"/>
      <c r="AD1041" s="22"/>
      <c r="AE1041" s="22"/>
    </row>
    <row r="1042">
      <c r="A1042" s="22"/>
      <c r="B1042" s="22" t="str">
        <f>IF(ISBLANK(A1042),"",VLOOKUP(A1042,DOI_URL!$B$1:$C$74,2,FALSE()))</f>
        <v/>
      </c>
      <c r="C1042" s="22"/>
      <c r="D1042" s="22"/>
      <c r="E1042" s="22"/>
      <c r="F1042" s="22"/>
      <c r="G1042" s="22"/>
      <c r="H1042" s="22"/>
      <c r="I1042" s="22"/>
      <c r="J1042" s="22"/>
      <c r="K1042" s="22"/>
      <c r="L1042" s="22"/>
      <c r="M1042" s="22"/>
      <c r="N1042" s="22"/>
      <c r="O1042" s="22"/>
      <c r="P1042" s="22"/>
      <c r="Q1042" s="22"/>
      <c r="R1042" s="22"/>
      <c r="S1042" s="22"/>
      <c r="T1042" s="22"/>
      <c r="U1042" s="22"/>
      <c r="V1042" s="22"/>
      <c r="W1042" s="22"/>
      <c r="X1042" s="22"/>
      <c r="Y1042" s="22"/>
      <c r="Z1042" s="22"/>
      <c r="AA1042" s="22"/>
      <c r="AB1042" s="22"/>
      <c r="AC1042" s="22"/>
      <c r="AD1042" s="22"/>
      <c r="AE1042" s="22"/>
    </row>
    <row r="1043">
      <c r="A1043" s="22"/>
      <c r="B1043" s="22" t="str">
        <f>IF(ISBLANK(A1043),"",VLOOKUP(A1043,DOI_URL!$B$1:$C$74,2,FALSE()))</f>
        <v/>
      </c>
      <c r="C1043" s="22"/>
      <c r="D1043" s="22"/>
      <c r="E1043" s="22"/>
      <c r="F1043" s="22"/>
      <c r="G1043" s="22"/>
      <c r="H1043" s="22"/>
      <c r="I1043" s="22"/>
      <c r="J1043" s="22"/>
      <c r="K1043" s="22"/>
      <c r="L1043" s="22"/>
      <c r="M1043" s="22"/>
      <c r="N1043" s="22"/>
      <c r="O1043" s="22"/>
      <c r="P1043" s="22"/>
      <c r="Q1043" s="22"/>
      <c r="R1043" s="22"/>
      <c r="S1043" s="22"/>
      <c r="T1043" s="22"/>
      <c r="U1043" s="22"/>
      <c r="V1043" s="22"/>
      <c r="W1043" s="22"/>
      <c r="X1043" s="22"/>
      <c r="Y1043" s="22"/>
      <c r="Z1043" s="22"/>
      <c r="AA1043" s="22"/>
      <c r="AB1043" s="22"/>
      <c r="AC1043" s="22"/>
      <c r="AD1043" s="22"/>
      <c r="AE1043" s="22"/>
    </row>
    <row r="1044">
      <c r="A1044" s="22"/>
      <c r="B1044" s="22" t="str">
        <f>IF(ISBLANK(A1044),"",VLOOKUP(A1044,DOI_URL!$B$1:$C$74,2,FALSE()))</f>
        <v/>
      </c>
      <c r="C1044" s="22"/>
      <c r="D1044" s="22"/>
      <c r="E1044" s="22"/>
      <c r="F1044" s="22"/>
      <c r="G1044" s="22"/>
      <c r="H1044" s="22"/>
      <c r="I1044" s="22"/>
      <c r="J1044" s="22"/>
      <c r="K1044" s="22"/>
      <c r="L1044" s="22"/>
      <c r="M1044" s="22"/>
      <c r="N1044" s="22"/>
      <c r="O1044" s="22"/>
      <c r="P1044" s="22"/>
      <c r="Q1044" s="22"/>
      <c r="R1044" s="22"/>
      <c r="S1044" s="22"/>
      <c r="T1044" s="22"/>
      <c r="U1044" s="22"/>
      <c r="V1044" s="22"/>
      <c r="W1044" s="22"/>
      <c r="X1044" s="22"/>
      <c r="Y1044" s="22"/>
      <c r="Z1044" s="22"/>
      <c r="AA1044" s="22"/>
      <c r="AB1044" s="22"/>
      <c r="AC1044" s="22"/>
      <c r="AD1044" s="22"/>
      <c r="AE1044" s="22"/>
    </row>
    <row r="1045">
      <c r="A1045" s="22"/>
      <c r="B1045" s="22" t="str">
        <f>IF(ISBLANK(A1045),"",VLOOKUP(A1045,DOI_URL!$B$1:$C$74,2,FALSE()))</f>
        <v/>
      </c>
      <c r="C1045" s="22"/>
      <c r="D1045" s="22"/>
      <c r="E1045" s="22"/>
      <c r="F1045" s="22"/>
      <c r="G1045" s="22"/>
      <c r="H1045" s="22"/>
      <c r="I1045" s="22"/>
      <c r="J1045" s="22"/>
      <c r="K1045" s="22"/>
      <c r="L1045" s="22"/>
      <c r="M1045" s="22"/>
      <c r="N1045" s="22"/>
      <c r="O1045" s="22"/>
      <c r="P1045" s="22"/>
      <c r="Q1045" s="22"/>
      <c r="R1045" s="22"/>
      <c r="S1045" s="22"/>
      <c r="T1045" s="22"/>
      <c r="U1045" s="22"/>
      <c r="V1045" s="22"/>
      <c r="W1045" s="22"/>
      <c r="X1045" s="22"/>
      <c r="Y1045" s="22"/>
      <c r="Z1045" s="22"/>
      <c r="AA1045" s="22"/>
      <c r="AB1045" s="22"/>
      <c r="AC1045" s="22"/>
      <c r="AD1045" s="22"/>
      <c r="AE1045" s="22"/>
    </row>
    <row r="1046">
      <c r="A1046" s="22"/>
      <c r="B1046" s="22" t="str">
        <f>IF(ISBLANK(A1046),"",VLOOKUP(A1046,DOI_URL!$B$1:$C$74,2,FALSE()))</f>
        <v/>
      </c>
      <c r="C1046" s="22"/>
      <c r="D1046" s="22"/>
      <c r="E1046" s="22"/>
      <c r="F1046" s="22"/>
      <c r="G1046" s="22"/>
      <c r="H1046" s="22"/>
      <c r="I1046" s="22"/>
      <c r="J1046" s="22"/>
      <c r="K1046" s="22"/>
      <c r="L1046" s="22"/>
      <c r="M1046" s="22"/>
      <c r="N1046" s="22"/>
      <c r="O1046" s="22"/>
      <c r="P1046" s="22"/>
      <c r="Q1046" s="22"/>
      <c r="R1046" s="22"/>
      <c r="S1046" s="22"/>
      <c r="T1046" s="22"/>
      <c r="U1046" s="22"/>
      <c r="V1046" s="22"/>
      <c r="W1046" s="22"/>
      <c r="X1046" s="22"/>
      <c r="Y1046" s="22"/>
      <c r="Z1046" s="22"/>
      <c r="AA1046" s="22"/>
      <c r="AB1046" s="22"/>
      <c r="AC1046" s="22"/>
      <c r="AD1046" s="22"/>
      <c r="AE1046" s="22"/>
    </row>
    <row r="1047">
      <c r="A1047" s="22"/>
      <c r="B1047" s="22" t="str">
        <f>IF(ISBLANK(A1047),"",VLOOKUP(A1047,DOI_URL!$B$1:$C$74,2,FALSE()))</f>
        <v/>
      </c>
      <c r="C1047" s="22"/>
      <c r="D1047" s="22"/>
      <c r="E1047" s="22"/>
      <c r="F1047" s="22"/>
      <c r="G1047" s="22"/>
      <c r="H1047" s="22"/>
      <c r="I1047" s="22"/>
      <c r="J1047" s="22"/>
      <c r="K1047" s="22"/>
      <c r="L1047" s="22"/>
      <c r="M1047" s="22"/>
      <c r="N1047" s="22"/>
      <c r="O1047" s="22"/>
      <c r="P1047" s="22"/>
      <c r="Q1047" s="22"/>
      <c r="R1047" s="22"/>
      <c r="S1047" s="22"/>
      <c r="T1047" s="22"/>
      <c r="U1047" s="22"/>
      <c r="V1047" s="22"/>
      <c r="W1047" s="22"/>
      <c r="X1047" s="22"/>
      <c r="Y1047" s="22"/>
      <c r="Z1047" s="22"/>
      <c r="AA1047" s="22"/>
      <c r="AB1047" s="22"/>
      <c r="AC1047" s="22"/>
      <c r="AD1047" s="22"/>
      <c r="AE1047" s="22"/>
    </row>
    <row r="1048">
      <c r="A1048" s="22"/>
      <c r="B1048" s="22" t="str">
        <f>IF(ISBLANK(A1048),"",VLOOKUP(A1048,DOI_URL!$B$1:$C$74,2,FALSE()))</f>
        <v/>
      </c>
      <c r="C1048" s="22"/>
      <c r="D1048" s="22"/>
      <c r="E1048" s="22"/>
      <c r="F1048" s="22"/>
      <c r="G1048" s="22"/>
      <c r="H1048" s="22"/>
      <c r="I1048" s="22"/>
      <c r="J1048" s="22"/>
      <c r="K1048" s="22"/>
      <c r="L1048" s="22"/>
      <c r="M1048" s="22"/>
      <c r="N1048" s="22"/>
      <c r="O1048" s="22"/>
      <c r="P1048" s="22"/>
      <c r="Q1048" s="22"/>
      <c r="R1048" s="22"/>
      <c r="S1048" s="22"/>
      <c r="T1048" s="22"/>
      <c r="U1048" s="22"/>
      <c r="V1048" s="22"/>
      <c r="W1048" s="22"/>
      <c r="X1048" s="22"/>
      <c r="Y1048" s="22"/>
      <c r="Z1048" s="22"/>
      <c r="AA1048" s="22"/>
      <c r="AB1048" s="22"/>
      <c r="AC1048" s="22"/>
      <c r="AD1048" s="22"/>
      <c r="AE1048" s="22"/>
    </row>
    <row r="1049">
      <c r="A1049" s="22"/>
      <c r="B1049" s="22" t="str">
        <f>IF(ISBLANK(A1049),"",VLOOKUP(A1049,DOI_URL!$B$1:$C$74,2,FALSE()))</f>
        <v/>
      </c>
      <c r="C1049" s="22"/>
      <c r="D1049" s="22"/>
      <c r="E1049" s="22"/>
      <c r="F1049" s="22"/>
      <c r="G1049" s="22"/>
      <c r="H1049" s="22"/>
      <c r="I1049" s="22"/>
      <c r="J1049" s="22"/>
      <c r="K1049" s="22"/>
      <c r="L1049" s="22"/>
      <c r="M1049" s="22"/>
      <c r="N1049" s="22"/>
      <c r="O1049" s="22"/>
      <c r="P1049" s="22"/>
      <c r="Q1049" s="22"/>
      <c r="R1049" s="22"/>
      <c r="S1049" s="22"/>
      <c r="T1049" s="22"/>
      <c r="U1049" s="22"/>
      <c r="V1049" s="22"/>
      <c r="W1049" s="22"/>
      <c r="X1049" s="22"/>
      <c r="Y1049" s="22"/>
      <c r="Z1049" s="22"/>
      <c r="AA1049" s="22"/>
      <c r="AB1049" s="22"/>
      <c r="AC1049" s="22"/>
      <c r="AD1049" s="22"/>
      <c r="AE1049" s="22"/>
    </row>
    <row r="1050">
      <c r="A1050" s="22"/>
      <c r="B1050" s="22" t="str">
        <f>IF(ISBLANK(A1050),"",VLOOKUP(A1050,DOI_URL!$B$1:$C$74,2,FALSE()))</f>
        <v/>
      </c>
      <c r="C1050" s="22"/>
      <c r="D1050" s="22"/>
      <c r="E1050" s="22"/>
      <c r="F1050" s="22"/>
      <c r="G1050" s="22"/>
      <c r="H1050" s="22"/>
      <c r="I1050" s="22"/>
      <c r="J1050" s="22"/>
      <c r="K1050" s="22"/>
      <c r="L1050" s="22"/>
      <c r="M1050" s="22"/>
      <c r="N1050" s="22"/>
      <c r="O1050" s="22"/>
      <c r="P1050" s="22"/>
      <c r="Q1050" s="22"/>
      <c r="R1050" s="22"/>
      <c r="S1050" s="22"/>
      <c r="T1050" s="22"/>
      <c r="U1050" s="22"/>
      <c r="V1050" s="22"/>
      <c r="W1050" s="22"/>
      <c r="X1050" s="22"/>
      <c r="Y1050" s="22"/>
      <c r="Z1050" s="22"/>
      <c r="AA1050" s="22"/>
      <c r="AB1050" s="22"/>
      <c r="AC1050" s="22"/>
      <c r="AD1050" s="22"/>
      <c r="AE1050" s="22"/>
    </row>
    <row r="1051">
      <c r="A1051" s="22"/>
      <c r="B1051" s="22" t="str">
        <f>IF(ISBLANK(A1051),"",VLOOKUP(A1051,DOI_URL!$B$1:$C$74,2,FALSE()))</f>
        <v/>
      </c>
      <c r="C1051" s="22"/>
      <c r="D1051" s="22"/>
      <c r="E1051" s="22"/>
      <c r="F1051" s="22"/>
      <c r="G1051" s="22"/>
      <c r="H1051" s="22"/>
      <c r="I1051" s="22"/>
      <c r="J1051" s="22"/>
      <c r="K1051" s="22"/>
      <c r="L1051" s="22"/>
      <c r="M1051" s="22"/>
      <c r="N1051" s="22"/>
      <c r="O1051" s="22"/>
      <c r="P1051" s="22"/>
      <c r="Q1051" s="22"/>
      <c r="R1051" s="22"/>
      <c r="S1051" s="22"/>
      <c r="T1051" s="22"/>
      <c r="U1051" s="22"/>
      <c r="V1051" s="22"/>
      <c r="W1051" s="22"/>
      <c r="X1051" s="22"/>
      <c r="Y1051" s="22"/>
      <c r="Z1051" s="22"/>
      <c r="AA1051" s="22"/>
      <c r="AB1051" s="22"/>
      <c r="AC1051" s="22"/>
      <c r="AD1051" s="22"/>
      <c r="AE1051" s="22"/>
    </row>
    <row r="1052">
      <c r="A1052" s="22"/>
      <c r="B1052" s="22" t="str">
        <f>IF(ISBLANK(A1052),"",VLOOKUP(A1052,DOI_URL!$B$1:$C$74,2,FALSE()))</f>
        <v/>
      </c>
      <c r="C1052" s="22"/>
      <c r="D1052" s="22"/>
      <c r="E1052" s="22"/>
      <c r="F1052" s="22"/>
      <c r="G1052" s="22"/>
      <c r="H1052" s="22"/>
      <c r="I1052" s="22"/>
      <c r="J1052" s="22"/>
      <c r="K1052" s="22"/>
      <c r="L1052" s="22"/>
      <c r="M1052" s="22"/>
      <c r="N1052" s="22"/>
      <c r="O1052" s="22"/>
      <c r="P1052" s="22"/>
      <c r="Q1052" s="22"/>
      <c r="R1052" s="22"/>
      <c r="S1052" s="22"/>
      <c r="T1052" s="22"/>
      <c r="U1052" s="22"/>
      <c r="V1052" s="22"/>
      <c r="W1052" s="22"/>
      <c r="X1052" s="22"/>
      <c r="Y1052" s="22"/>
      <c r="Z1052" s="22"/>
      <c r="AA1052" s="22"/>
      <c r="AB1052" s="22"/>
      <c r="AC1052" s="22"/>
      <c r="AD1052" s="22"/>
      <c r="AE1052" s="22"/>
    </row>
    <row r="1053">
      <c r="A1053" s="22"/>
      <c r="B1053" s="22" t="str">
        <f>IF(ISBLANK(A1053),"",VLOOKUP(A1053,DOI_URL!$B$1:$C$74,2,FALSE()))</f>
        <v/>
      </c>
      <c r="C1053" s="22"/>
      <c r="D1053" s="22"/>
      <c r="E1053" s="22"/>
      <c r="F1053" s="22"/>
      <c r="G1053" s="22"/>
      <c r="H1053" s="22"/>
      <c r="I1053" s="22"/>
      <c r="J1053" s="22"/>
      <c r="K1053" s="22"/>
      <c r="L1053" s="22"/>
      <c r="M1053" s="22"/>
      <c r="N1053" s="22"/>
      <c r="O1053" s="22"/>
      <c r="P1053" s="22"/>
      <c r="Q1053" s="22"/>
      <c r="R1053" s="22"/>
      <c r="S1053" s="22"/>
      <c r="T1053" s="22"/>
      <c r="U1053" s="22"/>
      <c r="V1053" s="22"/>
      <c r="W1053" s="22"/>
      <c r="X1053" s="22"/>
      <c r="Y1053" s="22"/>
      <c r="Z1053" s="22"/>
      <c r="AA1053" s="22"/>
      <c r="AB1053" s="22"/>
      <c r="AC1053" s="22"/>
      <c r="AD1053" s="22"/>
      <c r="AE1053" s="22"/>
    </row>
    <row r="1054">
      <c r="A1054" s="22"/>
      <c r="B1054" s="22" t="str">
        <f>IF(ISBLANK(A1054),"",VLOOKUP(A1054,DOI_URL!$B$1:$C$74,2,FALSE()))</f>
        <v/>
      </c>
      <c r="C1054" s="22"/>
      <c r="D1054" s="22"/>
      <c r="E1054" s="22"/>
      <c r="F1054" s="22"/>
      <c r="G1054" s="22"/>
      <c r="H1054" s="22"/>
      <c r="I1054" s="22"/>
      <c r="J1054" s="22"/>
      <c r="K1054" s="22"/>
      <c r="L1054" s="22"/>
      <c r="M1054" s="22"/>
      <c r="N1054" s="22"/>
      <c r="O1054" s="22"/>
      <c r="P1054" s="22"/>
      <c r="Q1054" s="22"/>
      <c r="R1054" s="22"/>
      <c r="S1054" s="22"/>
      <c r="T1054" s="22"/>
      <c r="U1054" s="22"/>
      <c r="V1054" s="22"/>
      <c r="W1054" s="22"/>
      <c r="X1054" s="22"/>
      <c r="Y1054" s="22"/>
      <c r="Z1054" s="22"/>
      <c r="AA1054" s="22"/>
      <c r="AB1054" s="22"/>
      <c r="AC1054" s="22"/>
      <c r="AD1054" s="22"/>
      <c r="AE1054" s="22"/>
    </row>
    <row r="1055">
      <c r="A1055" s="22"/>
      <c r="B1055" s="22" t="str">
        <f>IF(ISBLANK(A1055),"",VLOOKUP(A1055,DOI_URL!$B$1:$C$74,2,FALSE()))</f>
        <v/>
      </c>
      <c r="C1055" s="22"/>
      <c r="D1055" s="22"/>
      <c r="E1055" s="22"/>
      <c r="F1055" s="22"/>
      <c r="G1055" s="22"/>
      <c r="H1055" s="22"/>
      <c r="I1055" s="22"/>
      <c r="J1055" s="22"/>
      <c r="K1055" s="22"/>
      <c r="L1055" s="22"/>
      <c r="M1055" s="22"/>
      <c r="N1055" s="22"/>
      <c r="O1055" s="22"/>
      <c r="P1055" s="22"/>
      <c r="Q1055" s="22"/>
      <c r="R1055" s="22"/>
      <c r="S1055" s="22"/>
      <c r="T1055" s="22"/>
      <c r="U1055" s="22"/>
      <c r="V1055" s="22"/>
      <c r="W1055" s="22"/>
      <c r="X1055" s="22"/>
      <c r="Y1055" s="22"/>
      <c r="Z1055" s="22"/>
      <c r="AA1055" s="22"/>
      <c r="AB1055" s="22"/>
      <c r="AC1055" s="22"/>
      <c r="AD1055" s="22"/>
      <c r="AE1055" s="22"/>
    </row>
    <row r="1056">
      <c r="A1056" s="22"/>
      <c r="B1056" s="22" t="str">
        <f>IF(ISBLANK(A1056),"",VLOOKUP(A1056,DOI_URL!$B$1:$C$74,2,FALSE()))</f>
        <v/>
      </c>
      <c r="C1056" s="22"/>
      <c r="D1056" s="22"/>
      <c r="E1056" s="22"/>
      <c r="F1056" s="22"/>
      <c r="G1056" s="22"/>
      <c r="H1056" s="22"/>
      <c r="I1056" s="22"/>
      <c r="J1056" s="22"/>
      <c r="K1056" s="22"/>
      <c r="L1056" s="22"/>
      <c r="M1056" s="22"/>
      <c r="N1056" s="22"/>
      <c r="O1056" s="22"/>
      <c r="P1056" s="22"/>
      <c r="Q1056" s="22"/>
      <c r="R1056" s="22"/>
      <c r="S1056" s="22"/>
      <c r="T1056" s="22"/>
      <c r="U1056" s="22"/>
      <c r="V1056" s="22"/>
      <c r="W1056" s="22"/>
      <c r="X1056" s="22"/>
      <c r="Y1056" s="22"/>
      <c r="Z1056" s="22"/>
      <c r="AA1056" s="22"/>
      <c r="AB1056" s="22"/>
      <c r="AC1056" s="22"/>
      <c r="AD1056" s="22"/>
      <c r="AE1056" s="22"/>
    </row>
    <row r="1057">
      <c r="A1057" s="22"/>
      <c r="B1057" s="22" t="str">
        <f>IF(ISBLANK(A1057),"",VLOOKUP(A1057,DOI_URL!$B$1:$C$74,2,FALSE()))</f>
        <v/>
      </c>
      <c r="C1057" s="22"/>
      <c r="D1057" s="22"/>
      <c r="E1057" s="22"/>
      <c r="F1057" s="22"/>
      <c r="G1057" s="22"/>
      <c r="H1057" s="22"/>
      <c r="I1057" s="22"/>
      <c r="J1057" s="22"/>
      <c r="K1057" s="22"/>
      <c r="L1057" s="22"/>
      <c r="M1057" s="22"/>
      <c r="N1057" s="22"/>
      <c r="O1057" s="22"/>
      <c r="P1057" s="22"/>
      <c r="Q1057" s="22"/>
      <c r="R1057" s="22"/>
      <c r="S1057" s="22"/>
      <c r="T1057" s="22"/>
      <c r="U1057" s="22"/>
      <c r="V1057" s="22"/>
      <c r="W1057" s="22"/>
      <c r="X1057" s="22"/>
      <c r="Y1057" s="22"/>
      <c r="Z1057" s="22"/>
      <c r="AA1057" s="22"/>
      <c r="AB1057" s="22"/>
      <c r="AC1057" s="22"/>
      <c r="AD1057" s="22"/>
      <c r="AE1057" s="22"/>
    </row>
    <row r="1058">
      <c r="A1058" s="22"/>
      <c r="B1058" s="22" t="str">
        <f>IF(ISBLANK(A1058),"",VLOOKUP(A1058,DOI_URL!$B$1:$C$74,2,FALSE()))</f>
        <v/>
      </c>
      <c r="C1058" s="22"/>
      <c r="D1058" s="22"/>
      <c r="E1058" s="22"/>
      <c r="F1058" s="22"/>
      <c r="G1058" s="22"/>
      <c r="H1058" s="22"/>
      <c r="I1058" s="22"/>
      <c r="J1058" s="22"/>
      <c r="K1058" s="22"/>
      <c r="L1058" s="22"/>
      <c r="M1058" s="22"/>
      <c r="N1058" s="22"/>
      <c r="O1058" s="22"/>
      <c r="P1058" s="22"/>
      <c r="Q1058" s="22"/>
      <c r="R1058" s="22"/>
      <c r="S1058" s="22"/>
      <c r="T1058" s="22"/>
      <c r="U1058" s="22"/>
      <c r="V1058" s="22"/>
      <c r="W1058" s="22"/>
      <c r="X1058" s="22"/>
      <c r="Y1058" s="22"/>
      <c r="Z1058" s="22"/>
      <c r="AA1058" s="22"/>
      <c r="AB1058" s="22"/>
      <c r="AC1058" s="22"/>
      <c r="AD1058" s="22"/>
      <c r="AE1058" s="22"/>
    </row>
    <row r="1059">
      <c r="A1059" s="22"/>
      <c r="B1059" s="22" t="str">
        <f>IF(ISBLANK(A1059),"",VLOOKUP(A1059,DOI_URL!$B$1:$C$74,2,FALSE()))</f>
        <v/>
      </c>
      <c r="C1059" s="22"/>
      <c r="D1059" s="22"/>
      <c r="E1059" s="22"/>
      <c r="F1059" s="22"/>
      <c r="G1059" s="22"/>
      <c r="H1059" s="22"/>
      <c r="I1059" s="22"/>
      <c r="J1059" s="22"/>
      <c r="K1059" s="22"/>
      <c r="L1059" s="22"/>
      <c r="M1059" s="22"/>
      <c r="N1059" s="22"/>
      <c r="O1059" s="22"/>
      <c r="P1059" s="22"/>
      <c r="Q1059" s="22"/>
      <c r="R1059" s="22"/>
      <c r="S1059" s="22"/>
      <c r="T1059" s="22"/>
      <c r="U1059" s="22"/>
      <c r="V1059" s="22"/>
      <c r="W1059" s="22"/>
      <c r="X1059" s="22"/>
      <c r="Y1059" s="22"/>
      <c r="Z1059" s="22"/>
      <c r="AA1059" s="22"/>
      <c r="AB1059" s="22"/>
      <c r="AC1059" s="22"/>
      <c r="AD1059" s="22"/>
      <c r="AE1059" s="22"/>
    </row>
    <row r="1060">
      <c r="A1060" s="22"/>
      <c r="B1060" s="22" t="str">
        <f>IF(ISBLANK(A1060),"",VLOOKUP(A1060,DOI_URL!$B$1:$C$74,2,FALSE()))</f>
        <v/>
      </c>
      <c r="C1060" s="22"/>
      <c r="D1060" s="22"/>
      <c r="E1060" s="22"/>
      <c r="F1060" s="22"/>
      <c r="G1060" s="22"/>
      <c r="H1060" s="22"/>
      <c r="I1060" s="22"/>
      <c r="J1060" s="22"/>
      <c r="K1060" s="22"/>
      <c r="L1060" s="22"/>
      <c r="M1060" s="22"/>
      <c r="N1060" s="22"/>
      <c r="O1060" s="22"/>
      <c r="P1060" s="22"/>
      <c r="Q1060" s="22"/>
      <c r="R1060" s="22"/>
      <c r="S1060" s="22"/>
      <c r="T1060" s="22"/>
      <c r="U1060" s="22"/>
      <c r="V1060" s="22"/>
      <c r="W1060" s="22"/>
      <c r="X1060" s="22"/>
      <c r="Y1060" s="22"/>
      <c r="Z1060" s="22"/>
      <c r="AA1060" s="22"/>
      <c r="AB1060" s="22"/>
      <c r="AC1060" s="22"/>
      <c r="AD1060" s="22"/>
      <c r="AE1060" s="22"/>
    </row>
    <row r="1061">
      <c r="A1061" s="22"/>
      <c r="B1061" s="22" t="str">
        <f>IF(ISBLANK(A1061),"",VLOOKUP(A1061,DOI_URL!$B$1:$C$74,2,FALSE()))</f>
        <v/>
      </c>
      <c r="C1061" s="22"/>
      <c r="D1061" s="22"/>
      <c r="E1061" s="22"/>
      <c r="F1061" s="22"/>
      <c r="G1061" s="22"/>
      <c r="H1061" s="22"/>
      <c r="I1061" s="22"/>
      <c r="J1061" s="22"/>
      <c r="K1061" s="22"/>
      <c r="L1061" s="22"/>
      <c r="M1061" s="22"/>
      <c r="N1061" s="22"/>
      <c r="O1061" s="22"/>
      <c r="P1061" s="22"/>
      <c r="Q1061" s="22"/>
      <c r="R1061" s="22"/>
      <c r="S1061" s="22"/>
      <c r="T1061" s="22"/>
      <c r="U1061" s="22"/>
      <c r="V1061" s="22"/>
      <c r="W1061" s="22"/>
      <c r="X1061" s="22"/>
      <c r="Y1061" s="22"/>
      <c r="Z1061" s="22"/>
      <c r="AA1061" s="22"/>
      <c r="AB1061" s="22"/>
      <c r="AC1061" s="22"/>
      <c r="AD1061" s="22"/>
      <c r="AE1061" s="22"/>
    </row>
    <row r="1062">
      <c r="A1062" s="22"/>
      <c r="B1062" s="22" t="str">
        <f>IF(ISBLANK(A1062),"",VLOOKUP(A1062,DOI_URL!$B$1:$C$74,2,FALSE()))</f>
        <v/>
      </c>
      <c r="C1062" s="22"/>
      <c r="D1062" s="22"/>
      <c r="E1062" s="22"/>
      <c r="F1062" s="22"/>
      <c r="G1062" s="22"/>
      <c r="H1062" s="22"/>
      <c r="I1062" s="22"/>
      <c r="J1062" s="22"/>
      <c r="K1062" s="22"/>
      <c r="L1062" s="22"/>
      <c r="M1062" s="22"/>
      <c r="N1062" s="22"/>
      <c r="O1062" s="22"/>
      <c r="P1062" s="22"/>
      <c r="Q1062" s="22"/>
      <c r="R1062" s="22"/>
      <c r="S1062" s="22"/>
      <c r="T1062" s="22"/>
      <c r="U1062" s="22"/>
      <c r="V1062" s="22"/>
      <c r="W1062" s="22"/>
      <c r="X1062" s="22"/>
      <c r="Y1062" s="22"/>
      <c r="Z1062" s="22"/>
      <c r="AA1062" s="22"/>
      <c r="AB1062" s="22"/>
      <c r="AC1062" s="22"/>
      <c r="AD1062" s="22"/>
      <c r="AE1062" s="22"/>
    </row>
    <row r="1063">
      <c r="A1063" s="22"/>
      <c r="B1063" s="22" t="str">
        <f>IF(ISBLANK(A1063),"",VLOOKUP(A1063,DOI_URL!$B$1:$C$74,2,FALSE()))</f>
        <v/>
      </c>
      <c r="C1063" s="22"/>
      <c r="D1063" s="22"/>
      <c r="E1063" s="22"/>
      <c r="F1063" s="22"/>
      <c r="G1063" s="22"/>
      <c r="H1063" s="22"/>
      <c r="I1063" s="22"/>
      <c r="J1063" s="22"/>
      <c r="K1063" s="22"/>
      <c r="L1063" s="22"/>
      <c r="M1063" s="22"/>
      <c r="N1063" s="22"/>
      <c r="O1063" s="22"/>
      <c r="P1063" s="22"/>
      <c r="Q1063" s="22"/>
      <c r="R1063" s="22"/>
      <c r="S1063" s="22"/>
      <c r="T1063" s="22"/>
      <c r="U1063" s="22"/>
      <c r="V1063" s="22"/>
      <c r="W1063" s="22"/>
      <c r="X1063" s="22"/>
      <c r="Y1063" s="22"/>
      <c r="Z1063" s="22"/>
      <c r="AA1063" s="22"/>
      <c r="AB1063" s="22"/>
      <c r="AC1063" s="22"/>
      <c r="AD1063" s="22"/>
      <c r="AE1063" s="22"/>
    </row>
    <row r="1064">
      <c r="A1064" s="22"/>
      <c r="B1064" s="22" t="str">
        <f>IF(ISBLANK(A1064),"",VLOOKUP(A1064,DOI_URL!$B$1:$C$74,2,FALSE()))</f>
        <v/>
      </c>
      <c r="C1064" s="22"/>
      <c r="D1064" s="22"/>
      <c r="E1064" s="22"/>
      <c r="F1064" s="22"/>
      <c r="G1064" s="22"/>
      <c r="H1064" s="22"/>
      <c r="I1064" s="22"/>
      <c r="J1064" s="22"/>
      <c r="K1064" s="22"/>
      <c r="L1064" s="22"/>
      <c r="M1064" s="22"/>
      <c r="N1064" s="22"/>
      <c r="O1064" s="22"/>
      <c r="P1064" s="22"/>
      <c r="Q1064" s="22"/>
      <c r="R1064" s="22"/>
      <c r="S1064" s="22"/>
      <c r="T1064" s="22"/>
      <c r="U1064" s="22"/>
      <c r="V1064" s="22"/>
      <c r="W1064" s="22"/>
      <c r="X1064" s="22"/>
      <c r="Y1064" s="22"/>
      <c r="Z1064" s="22"/>
      <c r="AA1064" s="22"/>
      <c r="AB1064" s="22"/>
      <c r="AC1064" s="22"/>
      <c r="AD1064" s="22"/>
      <c r="AE1064" s="22"/>
    </row>
    <row r="1065">
      <c r="A1065" s="22"/>
      <c r="B1065" s="22" t="str">
        <f>IF(ISBLANK(A1065),"",VLOOKUP(A1065,DOI_URL!$B$1:$C$74,2,FALSE()))</f>
        <v/>
      </c>
      <c r="C1065" s="22"/>
      <c r="D1065" s="22"/>
      <c r="E1065" s="22"/>
      <c r="F1065" s="22"/>
      <c r="G1065" s="22"/>
      <c r="H1065" s="22"/>
      <c r="I1065" s="22"/>
      <c r="J1065" s="22"/>
      <c r="K1065" s="22"/>
      <c r="L1065" s="22"/>
      <c r="M1065" s="22"/>
      <c r="N1065" s="22"/>
      <c r="O1065" s="22"/>
      <c r="P1065" s="22"/>
      <c r="Q1065" s="22"/>
      <c r="R1065" s="22"/>
      <c r="S1065" s="22"/>
      <c r="T1065" s="22"/>
      <c r="U1065" s="22"/>
      <c r="V1065" s="22"/>
      <c r="W1065" s="22"/>
      <c r="X1065" s="22"/>
      <c r="Y1065" s="22"/>
      <c r="Z1065" s="22"/>
      <c r="AA1065" s="22"/>
      <c r="AB1065" s="22"/>
      <c r="AC1065" s="22"/>
      <c r="AD1065" s="22"/>
      <c r="AE1065" s="22"/>
    </row>
    <row r="1066">
      <c r="A1066" s="22"/>
      <c r="B1066" s="22" t="str">
        <f>IF(ISBLANK(A1066),"",VLOOKUP(A1066,DOI_URL!$B$1:$C$74,2,FALSE()))</f>
        <v/>
      </c>
      <c r="C1066" s="22"/>
      <c r="D1066" s="22"/>
      <c r="E1066" s="22"/>
      <c r="F1066" s="22"/>
      <c r="G1066" s="22"/>
      <c r="H1066" s="22"/>
      <c r="I1066" s="22"/>
      <c r="J1066" s="22"/>
      <c r="K1066" s="22"/>
      <c r="L1066" s="22"/>
      <c r="M1066" s="22"/>
      <c r="N1066" s="22"/>
      <c r="O1066" s="22"/>
      <c r="P1066" s="22"/>
      <c r="Q1066" s="22"/>
      <c r="R1066" s="22"/>
      <c r="S1066" s="22"/>
      <c r="T1066" s="22"/>
      <c r="U1066" s="22"/>
      <c r="V1066" s="22"/>
      <c r="W1066" s="22"/>
      <c r="X1066" s="22"/>
      <c r="Y1066" s="22"/>
      <c r="Z1066" s="22"/>
      <c r="AA1066" s="22"/>
      <c r="AB1066" s="22"/>
      <c r="AC1066" s="22"/>
      <c r="AD1066" s="22"/>
      <c r="AE1066" s="22"/>
    </row>
    <row r="1067">
      <c r="A1067" s="22"/>
      <c r="B1067" s="22" t="str">
        <f>IF(ISBLANK(A1067),"",VLOOKUP(A1067,DOI_URL!$B$1:$C$74,2,FALSE()))</f>
        <v/>
      </c>
      <c r="C1067" s="22"/>
      <c r="D1067" s="22"/>
      <c r="E1067" s="22"/>
      <c r="F1067" s="22"/>
      <c r="G1067" s="22"/>
      <c r="H1067" s="22"/>
      <c r="I1067" s="22"/>
      <c r="J1067" s="22"/>
      <c r="K1067" s="22"/>
      <c r="L1067" s="22"/>
      <c r="M1067" s="22"/>
      <c r="N1067" s="22"/>
      <c r="O1067" s="22"/>
      <c r="P1067" s="22"/>
      <c r="Q1067" s="22"/>
      <c r="R1067" s="22"/>
      <c r="S1067" s="22"/>
      <c r="T1067" s="22"/>
      <c r="U1067" s="22"/>
      <c r="V1067" s="22"/>
      <c r="W1067" s="22"/>
      <c r="X1067" s="22"/>
      <c r="Y1067" s="22"/>
      <c r="Z1067" s="22"/>
      <c r="AA1067" s="22"/>
      <c r="AB1067" s="22"/>
      <c r="AC1067" s="22"/>
      <c r="AD1067" s="22"/>
      <c r="AE1067" s="22"/>
    </row>
    <row r="1068">
      <c r="A1068" s="22"/>
      <c r="B1068" s="22" t="str">
        <f>IF(ISBLANK(A1068),"",VLOOKUP(A1068,DOI_URL!$B$1:$C$74,2,FALSE()))</f>
        <v/>
      </c>
      <c r="C1068" s="22"/>
      <c r="D1068" s="22"/>
      <c r="E1068" s="22"/>
      <c r="F1068" s="22"/>
      <c r="G1068" s="22"/>
      <c r="H1068" s="22"/>
      <c r="I1068" s="22"/>
      <c r="J1068" s="22"/>
      <c r="K1068" s="22"/>
      <c r="L1068" s="22"/>
      <c r="M1068" s="22"/>
      <c r="N1068" s="22"/>
      <c r="O1068" s="22"/>
      <c r="P1068" s="22"/>
      <c r="Q1068" s="22"/>
      <c r="R1068" s="22"/>
      <c r="S1068" s="22"/>
      <c r="T1068" s="22"/>
      <c r="U1068" s="22"/>
      <c r="V1068" s="22"/>
      <c r="W1068" s="22"/>
      <c r="X1068" s="22"/>
      <c r="Y1068" s="22"/>
      <c r="Z1068" s="22"/>
      <c r="AA1068" s="22"/>
      <c r="AB1068" s="22"/>
      <c r="AC1068" s="22"/>
      <c r="AD1068" s="22"/>
      <c r="AE1068" s="22"/>
    </row>
    <row r="1069">
      <c r="A1069" s="22"/>
      <c r="B1069" s="22" t="str">
        <f>IF(ISBLANK(A1069),"",VLOOKUP(A1069,DOI_URL!$B$1:$C$74,2,FALSE()))</f>
        <v/>
      </c>
      <c r="C1069" s="22"/>
      <c r="D1069" s="22"/>
      <c r="E1069" s="22"/>
      <c r="F1069" s="22"/>
      <c r="G1069" s="22"/>
      <c r="H1069" s="22"/>
      <c r="I1069" s="22"/>
      <c r="J1069" s="22"/>
      <c r="K1069" s="22"/>
      <c r="L1069" s="22"/>
      <c r="M1069" s="22"/>
      <c r="N1069" s="22"/>
      <c r="O1069" s="22"/>
      <c r="P1069" s="22"/>
      <c r="Q1069" s="22"/>
      <c r="R1069" s="22"/>
      <c r="S1069" s="22"/>
      <c r="T1069" s="22"/>
      <c r="U1069" s="22"/>
      <c r="V1069" s="22"/>
      <c r="W1069" s="22"/>
      <c r="X1069" s="22"/>
      <c r="Y1069" s="22"/>
      <c r="Z1069" s="22"/>
      <c r="AA1069" s="22"/>
      <c r="AB1069" s="22"/>
      <c r="AC1069" s="22"/>
      <c r="AD1069" s="22"/>
      <c r="AE1069" s="22"/>
    </row>
    <row r="1070">
      <c r="A1070" s="22"/>
      <c r="B1070" s="22" t="str">
        <f>IF(ISBLANK(A1070),"",VLOOKUP(A1070,DOI_URL!$B$1:$C$74,2,FALSE()))</f>
        <v/>
      </c>
      <c r="C1070" s="22"/>
      <c r="D1070" s="22"/>
      <c r="E1070" s="22"/>
      <c r="F1070" s="22"/>
      <c r="G1070" s="22"/>
      <c r="H1070" s="22"/>
      <c r="I1070" s="22"/>
      <c r="J1070" s="22"/>
      <c r="K1070" s="22"/>
      <c r="L1070" s="22"/>
      <c r="M1070" s="22"/>
      <c r="N1070" s="22"/>
      <c r="O1070" s="22"/>
      <c r="P1070" s="22"/>
      <c r="Q1070" s="22"/>
      <c r="R1070" s="22"/>
      <c r="S1070" s="22"/>
      <c r="T1070" s="22"/>
      <c r="U1070" s="22"/>
      <c r="V1070" s="22"/>
      <c r="W1070" s="22"/>
      <c r="X1070" s="22"/>
      <c r="Y1070" s="22"/>
      <c r="Z1070" s="22"/>
      <c r="AA1070" s="22"/>
      <c r="AB1070" s="22"/>
      <c r="AC1070" s="22"/>
      <c r="AD1070" s="22"/>
      <c r="AE1070" s="22"/>
    </row>
    <row r="1071">
      <c r="A1071" s="22"/>
      <c r="B1071" s="22" t="str">
        <f>IF(ISBLANK(A1071),"",VLOOKUP(A1071,DOI_URL!$B$1:$C$74,2,FALSE()))</f>
        <v/>
      </c>
      <c r="C1071" s="22"/>
      <c r="D1071" s="22"/>
      <c r="E1071" s="22"/>
      <c r="F1071" s="22"/>
      <c r="G1071" s="22"/>
      <c r="H1071" s="22"/>
      <c r="I1071" s="22"/>
      <c r="J1071" s="22"/>
      <c r="K1071" s="22"/>
      <c r="L1071" s="22"/>
      <c r="M1071" s="22"/>
      <c r="N1071" s="22"/>
      <c r="O1071" s="22"/>
      <c r="P1071" s="22"/>
      <c r="Q1071" s="22"/>
      <c r="R1071" s="22"/>
      <c r="S1071" s="22"/>
      <c r="T1071" s="22"/>
      <c r="U1071" s="22"/>
      <c r="V1071" s="22"/>
      <c r="W1071" s="22"/>
      <c r="X1071" s="22"/>
      <c r="Y1071" s="22"/>
      <c r="Z1071" s="22"/>
      <c r="AA1071" s="22"/>
      <c r="AB1071" s="22"/>
      <c r="AC1071" s="22"/>
      <c r="AD1071" s="22"/>
      <c r="AE1071" s="22"/>
    </row>
    <row r="1072">
      <c r="A1072" s="22"/>
      <c r="B1072" s="22" t="str">
        <f>IF(ISBLANK(A1072),"",VLOOKUP(A1072,DOI_URL!$B$1:$C$74,2,FALSE()))</f>
        <v/>
      </c>
      <c r="C1072" s="22"/>
      <c r="D1072" s="22"/>
      <c r="E1072" s="22"/>
      <c r="F1072" s="22"/>
      <c r="G1072" s="22"/>
      <c r="H1072" s="22"/>
      <c r="I1072" s="22"/>
      <c r="J1072" s="22"/>
      <c r="K1072" s="22"/>
      <c r="L1072" s="22"/>
      <c r="M1072" s="22"/>
      <c r="N1072" s="22"/>
      <c r="O1072" s="22"/>
      <c r="P1072" s="22"/>
      <c r="Q1072" s="22"/>
      <c r="R1072" s="22"/>
      <c r="S1072" s="22"/>
      <c r="T1072" s="22"/>
      <c r="U1072" s="22"/>
      <c r="V1072" s="22"/>
      <c r="W1072" s="22"/>
      <c r="X1072" s="22"/>
      <c r="Y1072" s="22"/>
      <c r="Z1072" s="22"/>
      <c r="AA1072" s="22"/>
      <c r="AB1072" s="22"/>
      <c r="AC1072" s="22"/>
      <c r="AD1072" s="22"/>
      <c r="AE1072" s="22"/>
    </row>
    <row r="1073">
      <c r="A1073" s="22"/>
      <c r="B1073" s="22" t="str">
        <f>IF(ISBLANK(A1073),"",VLOOKUP(A1073,DOI_URL!$B$1:$C$74,2,FALSE()))</f>
        <v/>
      </c>
      <c r="C1073" s="22"/>
      <c r="D1073" s="22"/>
      <c r="E1073" s="22"/>
      <c r="F1073" s="22"/>
      <c r="G1073" s="22"/>
      <c r="H1073" s="22"/>
      <c r="I1073" s="22"/>
      <c r="J1073" s="22"/>
      <c r="K1073" s="22"/>
      <c r="L1073" s="22"/>
      <c r="M1073" s="22"/>
      <c r="N1073" s="22"/>
      <c r="O1073" s="22"/>
      <c r="P1073" s="22"/>
      <c r="Q1073" s="22"/>
      <c r="R1073" s="22"/>
      <c r="S1073" s="22"/>
      <c r="T1073" s="22"/>
      <c r="U1073" s="22"/>
      <c r="V1073" s="22"/>
      <c r="W1073" s="22"/>
      <c r="X1073" s="22"/>
      <c r="Y1073" s="22"/>
      <c r="Z1073" s="22"/>
      <c r="AA1073" s="22"/>
      <c r="AB1073" s="22"/>
      <c r="AC1073" s="22"/>
      <c r="AD1073" s="22"/>
      <c r="AE1073" s="22"/>
    </row>
    <row r="1074">
      <c r="A1074" s="22"/>
      <c r="B1074" s="22" t="str">
        <f>IF(ISBLANK(A1074),"",VLOOKUP(A1074,DOI_URL!$B$1:$C$74,2,FALSE()))</f>
        <v/>
      </c>
      <c r="C1074" s="22"/>
      <c r="D1074" s="22"/>
      <c r="E1074" s="22"/>
      <c r="F1074" s="22"/>
      <c r="G1074" s="22"/>
      <c r="H1074" s="22"/>
      <c r="I1074" s="22"/>
      <c r="J1074" s="22"/>
      <c r="K1074" s="22"/>
      <c r="L1074" s="22"/>
      <c r="M1074" s="22"/>
      <c r="N1074" s="22"/>
      <c r="O1074" s="22"/>
      <c r="P1074" s="22"/>
      <c r="Q1074" s="22"/>
      <c r="R1074" s="22"/>
      <c r="S1074" s="22"/>
      <c r="T1074" s="22"/>
      <c r="U1074" s="22"/>
      <c r="V1074" s="22"/>
      <c r="W1074" s="22"/>
      <c r="X1074" s="22"/>
      <c r="Y1074" s="22"/>
      <c r="Z1074" s="22"/>
      <c r="AA1074" s="22"/>
      <c r="AB1074" s="22"/>
      <c r="AC1074" s="22"/>
      <c r="AD1074" s="22"/>
      <c r="AE1074" s="22"/>
    </row>
    <row r="1075">
      <c r="A1075" s="22"/>
      <c r="B1075" s="22" t="str">
        <f>IF(ISBLANK(A1075),"",VLOOKUP(A1075,DOI_URL!$B$1:$C$74,2,FALSE()))</f>
        <v/>
      </c>
      <c r="C1075" s="22"/>
      <c r="D1075" s="22"/>
      <c r="E1075" s="22"/>
      <c r="F1075" s="22"/>
      <c r="G1075" s="22"/>
      <c r="H1075" s="22"/>
      <c r="I1075" s="22"/>
      <c r="J1075" s="22"/>
      <c r="K1075" s="22"/>
      <c r="L1075" s="22"/>
      <c r="M1075" s="22"/>
      <c r="N1075" s="22"/>
      <c r="O1075" s="22"/>
      <c r="P1075" s="22"/>
      <c r="Q1075" s="22"/>
      <c r="R1075" s="22"/>
      <c r="S1075" s="22"/>
      <c r="T1075" s="22"/>
      <c r="U1075" s="22"/>
      <c r="V1075" s="22"/>
      <c r="W1075" s="22"/>
      <c r="X1075" s="22"/>
      <c r="Y1075" s="22"/>
      <c r="Z1075" s="22"/>
      <c r="AA1075" s="22"/>
      <c r="AB1075" s="22"/>
      <c r="AC1075" s="22"/>
      <c r="AD1075" s="22"/>
      <c r="AE1075" s="22"/>
    </row>
    <row r="1076">
      <c r="A1076" s="22"/>
      <c r="B1076" s="22" t="str">
        <f>IF(ISBLANK(A1076),"",VLOOKUP(A1076,DOI_URL!$B$1:$C$74,2,FALSE()))</f>
        <v/>
      </c>
      <c r="C1076" s="22"/>
      <c r="D1076" s="22"/>
      <c r="E1076" s="22"/>
      <c r="F1076" s="22"/>
      <c r="G1076" s="22"/>
      <c r="H1076" s="22"/>
      <c r="I1076" s="22"/>
      <c r="J1076" s="22"/>
      <c r="K1076" s="22"/>
      <c r="L1076" s="22"/>
      <c r="M1076" s="22"/>
      <c r="N1076" s="22"/>
      <c r="O1076" s="22"/>
      <c r="P1076" s="22"/>
      <c r="Q1076" s="22"/>
      <c r="R1076" s="22"/>
      <c r="S1076" s="22"/>
      <c r="T1076" s="22"/>
      <c r="U1076" s="22"/>
      <c r="V1076" s="22"/>
      <c r="W1076" s="22"/>
      <c r="X1076" s="22"/>
      <c r="Y1076" s="22"/>
      <c r="Z1076" s="22"/>
      <c r="AA1076" s="22"/>
      <c r="AB1076" s="22"/>
      <c r="AC1076" s="22"/>
      <c r="AD1076" s="22"/>
      <c r="AE1076" s="22"/>
    </row>
    <row r="1077">
      <c r="A1077" s="22"/>
      <c r="B1077" s="22" t="str">
        <f>IF(ISBLANK(A1077),"",VLOOKUP(A1077,DOI_URL!$B$1:$C$74,2,FALSE()))</f>
        <v/>
      </c>
      <c r="C1077" s="22"/>
      <c r="D1077" s="22"/>
      <c r="E1077" s="22"/>
      <c r="F1077" s="22"/>
      <c r="G1077" s="22"/>
      <c r="H1077" s="22"/>
      <c r="I1077" s="22"/>
      <c r="J1077" s="22"/>
      <c r="K1077" s="22"/>
      <c r="L1077" s="22"/>
      <c r="M1077" s="22"/>
      <c r="N1077" s="22"/>
      <c r="O1077" s="22"/>
      <c r="P1077" s="22"/>
      <c r="Q1077" s="22"/>
      <c r="R1077" s="22"/>
      <c r="S1077" s="22"/>
      <c r="T1077" s="22"/>
      <c r="U1077" s="22"/>
      <c r="V1077" s="22"/>
      <c r="W1077" s="22"/>
      <c r="X1077" s="22"/>
      <c r="Y1077" s="22"/>
      <c r="Z1077" s="22"/>
      <c r="AA1077" s="22"/>
      <c r="AB1077" s="22"/>
      <c r="AC1077" s="22"/>
      <c r="AD1077" s="22"/>
      <c r="AE1077" s="22"/>
    </row>
    <row r="1078">
      <c r="A1078" s="22"/>
      <c r="B1078" s="22" t="str">
        <f>IF(ISBLANK(A1078),"",VLOOKUP(A1078,DOI_URL!$B$1:$C$74,2,FALSE()))</f>
        <v/>
      </c>
      <c r="C1078" s="22"/>
      <c r="D1078" s="22"/>
      <c r="E1078" s="22"/>
      <c r="F1078" s="22"/>
      <c r="G1078" s="22"/>
      <c r="H1078" s="22"/>
      <c r="I1078" s="22"/>
      <c r="J1078" s="22"/>
      <c r="K1078" s="22"/>
      <c r="L1078" s="22"/>
      <c r="M1078" s="22"/>
      <c r="N1078" s="22"/>
      <c r="O1078" s="22"/>
      <c r="P1078" s="22"/>
      <c r="Q1078" s="22"/>
      <c r="R1078" s="22"/>
      <c r="S1078" s="22"/>
      <c r="T1078" s="22"/>
      <c r="U1078" s="22"/>
      <c r="V1078" s="22"/>
      <c r="W1078" s="22"/>
      <c r="X1078" s="22"/>
      <c r="Y1078" s="22"/>
      <c r="Z1078" s="22"/>
      <c r="AA1078" s="22"/>
      <c r="AB1078" s="22"/>
      <c r="AC1078" s="22"/>
      <c r="AD1078" s="22"/>
      <c r="AE1078" s="22"/>
    </row>
    <row r="1079">
      <c r="A1079" s="22"/>
      <c r="B1079" s="22" t="str">
        <f>IF(ISBLANK(A1079),"",VLOOKUP(A1079,DOI_URL!$B$1:$C$74,2,FALSE()))</f>
        <v/>
      </c>
      <c r="C1079" s="22"/>
      <c r="D1079" s="22"/>
      <c r="E1079" s="22"/>
      <c r="F1079" s="22"/>
      <c r="G1079" s="22"/>
      <c r="H1079" s="22"/>
      <c r="I1079" s="22"/>
      <c r="J1079" s="22"/>
      <c r="K1079" s="22"/>
      <c r="L1079" s="22"/>
      <c r="M1079" s="22"/>
      <c r="N1079" s="22"/>
      <c r="O1079" s="22"/>
      <c r="P1079" s="22"/>
      <c r="Q1079" s="22"/>
      <c r="R1079" s="22"/>
      <c r="S1079" s="22"/>
      <c r="T1079" s="22"/>
      <c r="U1079" s="22"/>
      <c r="V1079" s="22"/>
      <c r="W1079" s="22"/>
      <c r="X1079" s="22"/>
      <c r="Y1079" s="22"/>
      <c r="Z1079" s="22"/>
      <c r="AA1079" s="22"/>
      <c r="AB1079" s="22"/>
      <c r="AC1079" s="22"/>
      <c r="AD1079" s="22"/>
      <c r="AE1079" s="22"/>
    </row>
    <row r="1080">
      <c r="A1080" s="22"/>
      <c r="B1080" s="22" t="str">
        <f>IF(ISBLANK(A1080),"",VLOOKUP(A1080,DOI_URL!$B$1:$C$74,2,FALSE()))</f>
        <v/>
      </c>
      <c r="C1080" s="22"/>
      <c r="D1080" s="22"/>
      <c r="E1080" s="22"/>
      <c r="F1080" s="22"/>
      <c r="G1080" s="22"/>
      <c r="H1080" s="22"/>
      <c r="I1080" s="22"/>
      <c r="J1080" s="22"/>
      <c r="K1080" s="22"/>
      <c r="L1080" s="22"/>
      <c r="M1080" s="22"/>
      <c r="N1080" s="22"/>
      <c r="O1080" s="22"/>
      <c r="P1080" s="22"/>
      <c r="Q1080" s="22"/>
      <c r="R1080" s="22"/>
      <c r="S1080" s="22"/>
      <c r="T1080" s="22"/>
      <c r="U1080" s="22"/>
      <c r="V1080" s="22"/>
      <c r="W1080" s="22"/>
      <c r="X1080" s="22"/>
      <c r="Y1080" s="22"/>
      <c r="Z1080" s="22"/>
      <c r="AA1080" s="22"/>
      <c r="AB1080" s="22"/>
      <c r="AC1080" s="22"/>
      <c r="AD1080" s="22"/>
      <c r="AE1080" s="22"/>
    </row>
    <row r="1081">
      <c r="A1081" s="22"/>
      <c r="B1081" s="22" t="str">
        <f>IF(ISBLANK(A1081),"",VLOOKUP(A1081,DOI_URL!$B$1:$C$74,2,FALSE()))</f>
        <v/>
      </c>
      <c r="C1081" s="22"/>
      <c r="D1081" s="22"/>
      <c r="E1081" s="22"/>
      <c r="F1081" s="22"/>
      <c r="G1081" s="22"/>
      <c r="H1081" s="22"/>
      <c r="I1081" s="22"/>
      <c r="J1081" s="22"/>
      <c r="K1081" s="22"/>
      <c r="L1081" s="22"/>
      <c r="M1081" s="22"/>
      <c r="N1081" s="22"/>
      <c r="O1081" s="22"/>
      <c r="P1081" s="22"/>
      <c r="Q1081" s="22"/>
      <c r="R1081" s="22"/>
      <c r="S1081" s="22"/>
      <c r="T1081" s="22"/>
      <c r="U1081" s="22"/>
      <c r="V1081" s="22"/>
      <c r="W1081" s="22"/>
      <c r="X1081" s="22"/>
      <c r="Y1081" s="22"/>
      <c r="Z1081" s="22"/>
      <c r="AA1081" s="22"/>
      <c r="AB1081" s="22"/>
      <c r="AC1081" s="22"/>
      <c r="AD1081" s="22"/>
      <c r="AE1081" s="22"/>
    </row>
    <row r="1082">
      <c r="A1082" s="22"/>
      <c r="B1082" s="22" t="str">
        <f>IF(ISBLANK(A1082),"",VLOOKUP(A1082,DOI_URL!$B$1:$C$74,2,FALSE()))</f>
        <v/>
      </c>
      <c r="C1082" s="22"/>
      <c r="D1082" s="22"/>
      <c r="E1082" s="22"/>
      <c r="F1082" s="22"/>
      <c r="G1082" s="22"/>
      <c r="H1082" s="22"/>
      <c r="I1082" s="22"/>
      <c r="J1082" s="22"/>
      <c r="K1082" s="22"/>
      <c r="L1082" s="22"/>
      <c r="M1082" s="22"/>
      <c r="N1082" s="22"/>
      <c r="O1082" s="22"/>
      <c r="P1082" s="22"/>
      <c r="Q1082" s="22"/>
      <c r="R1082" s="22"/>
      <c r="S1082" s="22"/>
      <c r="T1082" s="22"/>
      <c r="U1082" s="22"/>
      <c r="V1082" s="22"/>
      <c r="W1082" s="22"/>
      <c r="X1082" s="22"/>
      <c r="Y1082" s="22"/>
      <c r="Z1082" s="22"/>
      <c r="AA1082" s="22"/>
      <c r="AB1082" s="22"/>
      <c r="AC1082" s="22"/>
      <c r="AD1082" s="22"/>
      <c r="AE1082" s="22"/>
    </row>
    <row r="1083">
      <c r="A1083" s="22"/>
      <c r="B1083" s="22" t="str">
        <f>IF(ISBLANK(A1083),"",VLOOKUP(A1083,DOI_URL!$B$1:$C$74,2,FALSE()))</f>
        <v/>
      </c>
      <c r="C1083" s="22"/>
      <c r="D1083" s="22"/>
      <c r="E1083" s="22"/>
      <c r="F1083" s="22"/>
      <c r="G1083" s="22"/>
      <c r="H1083" s="22"/>
      <c r="I1083" s="22"/>
      <c r="J1083" s="22"/>
      <c r="K1083" s="22"/>
      <c r="L1083" s="22"/>
      <c r="M1083" s="22"/>
      <c r="N1083" s="22"/>
      <c r="O1083" s="22"/>
      <c r="P1083" s="22"/>
      <c r="Q1083" s="22"/>
      <c r="R1083" s="22"/>
      <c r="S1083" s="22"/>
      <c r="T1083" s="22"/>
      <c r="U1083" s="22"/>
      <c r="V1083" s="22"/>
      <c r="W1083" s="22"/>
      <c r="X1083" s="22"/>
      <c r="Y1083" s="22"/>
      <c r="Z1083" s="22"/>
      <c r="AA1083" s="22"/>
      <c r="AB1083" s="22"/>
      <c r="AC1083" s="22"/>
      <c r="AD1083" s="22"/>
      <c r="AE1083" s="22"/>
    </row>
    <row r="1084">
      <c r="A1084" s="22"/>
      <c r="B1084" s="22" t="str">
        <f>IF(ISBLANK(A1084),"",VLOOKUP(A1084,DOI_URL!$B$1:$C$74,2,FALSE()))</f>
        <v/>
      </c>
      <c r="C1084" s="22"/>
      <c r="D1084" s="22"/>
      <c r="E1084" s="22"/>
      <c r="F1084" s="22"/>
      <c r="G1084" s="22"/>
      <c r="H1084" s="22"/>
      <c r="I1084" s="22"/>
      <c r="J1084" s="22"/>
      <c r="K1084" s="22"/>
      <c r="L1084" s="22"/>
      <c r="M1084" s="22"/>
      <c r="N1084" s="22"/>
      <c r="O1084" s="22"/>
      <c r="P1084" s="22"/>
      <c r="Q1084" s="22"/>
      <c r="R1084" s="22"/>
      <c r="S1084" s="22"/>
      <c r="T1084" s="22"/>
      <c r="U1084" s="22"/>
      <c r="V1084" s="22"/>
      <c r="W1084" s="22"/>
      <c r="X1084" s="22"/>
      <c r="Y1084" s="22"/>
      <c r="Z1084" s="22"/>
      <c r="AA1084" s="22"/>
      <c r="AB1084" s="22"/>
      <c r="AC1084" s="22"/>
      <c r="AD1084" s="22"/>
      <c r="AE1084" s="22"/>
    </row>
    <row r="1085">
      <c r="A1085" s="22"/>
      <c r="B1085" s="22" t="str">
        <f>IF(ISBLANK(A1085),"",VLOOKUP(A1085,DOI_URL!$B$1:$C$74,2,FALSE()))</f>
        <v/>
      </c>
      <c r="C1085" s="22"/>
      <c r="D1085" s="22"/>
      <c r="E1085" s="22"/>
      <c r="F1085" s="22"/>
      <c r="G1085" s="22"/>
      <c r="H1085" s="22"/>
      <c r="I1085" s="22"/>
      <c r="J1085" s="22"/>
      <c r="K1085" s="22"/>
      <c r="L1085" s="22"/>
      <c r="M1085" s="22"/>
      <c r="N1085" s="22"/>
      <c r="O1085" s="22"/>
      <c r="P1085" s="22"/>
      <c r="Q1085" s="22"/>
      <c r="R1085" s="22"/>
      <c r="S1085" s="22"/>
      <c r="T1085" s="22"/>
      <c r="U1085" s="22"/>
      <c r="V1085" s="22"/>
      <c r="W1085" s="22"/>
      <c r="X1085" s="22"/>
      <c r="Y1085" s="22"/>
      <c r="Z1085" s="22"/>
      <c r="AA1085" s="22"/>
      <c r="AB1085" s="22"/>
      <c r="AC1085" s="22"/>
      <c r="AD1085" s="22"/>
      <c r="AE1085" s="22"/>
    </row>
    <row r="1086">
      <c r="A1086" s="22"/>
      <c r="B1086" s="22" t="str">
        <f>IF(ISBLANK(A1086),"",VLOOKUP(A1086,DOI_URL!$B$1:$C$74,2,FALSE()))</f>
        <v/>
      </c>
      <c r="C1086" s="22"/>
      <c r="D1086" s="22"/>
      <c r="E1086" s="22"/>
      <c r="F1086" s="22"/>
      <c r="G1086" s="22"/>
      <c r="H1086" s="22"/>
      <c r="I1086" s="22"/>
      <c r="J1086" s="22"/>
      <c r="K1086" s="22"/>
      <c r="L1086" s="22"/>
      <c r="M1086" s="22"/>
      <c r="N1086" s="22"/>
      <c r="O1086" s="22"/>
      <c r="P1086" s="22"/>
      <c r="Q1086" s="22"/>
      <c r="R1086" s="22"/>
      <c r="S1086" s="22"/>
      <c r="T1086" s="22"/>
      <c r="U1086" s="22"/>
      <c r="V1086" s="22"/>
      <c r="W1086" s="22"/>
      <c r="X1086" s="22"/>
      <c r="Y1086" s="22"/>
      <c r="Z1086" s="22"/>
      <c r="AA1086" s="22"/>
      <c r="AB1086" s="22"/>
      <c r="AC1086" s="22"/>
      <c r="AD1086" s="22"/>
      <c r="AE1086" s="22"/>
    </row>
    <row r="1087">
      <c r="A1087" s="22"/>
      <c r="B1087" s="22" t="str">
        <f>IF(ISBLANK(A1087),"",VLOOKUP(A1087,DOI_URL!$B$1:$C$74,2,FALSE()))</f>
        <v/>
      </c>
      <c r="C1087" s="22"/>
      <c r="D1087" s="22"/>
      <c r="E1087" s="22"/>
      <c r="F1087" s="22"/>
      <c r="G1087" s="22"/>
      <c r="H1087" s="22"/>
      <c r="I1087" s="22"/>
      <c r="J1087" s="22"/>
      <c r="K1087" s="22"/>
      <c r="L1087" s="22"/>
      <c r="M1087" s="22"/>
      <c r="N1087" s="22"/>
      <c r="O1087" s="22"/>
      <c r="P1087" s="22"/>
      <c r="Q1087" s="22"/>
      <c r="R1087" s="22"/>
      <c r="S1087" s="22"/>
      <c r="T1087" s="22"/>
      <c r="U1087" s="22"/>
      <c r="V1087" s="22"/>
      <c r="W1087" s="22"/>
      <c r="X1087" s="22"/>
      <c r="Y1087" s="22"/>
      <c r="Z1087" s="22"/>
      <c r="AA1087" s="22"/>
      <c r="AB1087" s="22"/>
      <c r="AC1087" s="22"/>
      <c r="AD1087" s="22"/>
      <c r="AE1087" s="22"/>
    </row>
    <row r="1088">
      <c r="A1088" s="22"/>
      <c r="B1088" s="22" t="str">
        <f>IF(ISBLANK(A1088),"",VLOOKUP(A1088,DOI_URL!$B$1:$C$74,2,FALSE()))</f>
        <v/>
      </c>
      <c r="C1088" s="22"/>
      <c r="D1088" s="22"/>
      <c r="E1088" s="22"/>
      <c r="F1088" s="22"/>
      <c r="G1088" s="22"/>
      <c r="H1088" s="22"/>
      <c r="I1088" s="22"/>
      <c r="J1088" s="22"/>
      <c r="K1088" s="22"/>
      <c r="L1088" s="22"/>
      <c r="M1088" s="22"/>
      <c r="N1088" s="22"/>
      <c r="O1088" s="22"/>
      <c r="P1088" s="22"/>
      <c r="Q1088" s="22"/>
      <c r="R1088" s="22"/>
      <c r="S1088" s="22"/>
      <c r="T1088" s="22"/>
      <c r="U1088" s="22"/>
      <c r="V1088" s="22"/>
      <c r="W1088" s="22"/>
      <c r="X1088" s="22"/>
      <c r="Y1088" s="22"/>
      <c r="Z1088" s="22"/>
      <c r="AA1088" s="22"/>
      <c r="AB1088" s="22"/>
      <c r="AC1088" s="22"/>
      <c r="AD1088" s="22"/>
      <c r="AE1088" s="22"/>
    </row>
    <row r="1089">
      <c r="A1089" s="22"/>
      <c r="B1089" s="22" t="str">
        <f>IF(ISBLANK(A1089),"",VLOOKUP(A1089,DOI_URL!$B$1:$C$74,2,FALSE()))</f>
        <v/>
      </c>
      <c r="C1089" s="22"/>
      <c r="D1089" s="22"/>
      <c r="E1089" s="22"/>
      <c r="F1089" s="22"/>
      <c r="G1089" s="22"/>
      <c r="H1089" s="22"/>
      <c r="I1089" s="22"/>
      <c r="J1089" s="22"/>
      <c r="K1089" s="22"/>
      <c r="L1089" s="22"/>
      <c r="M1089" s="22"/>
      <c r="N1089" s="22"/>
      <c r="O1089" s="22"/>
      <c r="P1089" s="22"/>
      <c r="Q1089" s="22"/>
      <c r="R1089" s="22"/>
      <c r="S1089" s="22"/>
      <c r="T1089" s="22"/>
      <c r="U1089" s="22"/>
      <c r="V1089" s="22"/>
      <c r="W1089" s="22"/>
      <c r="X1089" s="22"/>
      <c r="Y1089" s="22"/>
      <c r="Z1089" s="22"/>
      <c r="AA1089" s="22"/>
      <c r="AB1089" s="22"/>
      <c r="AC1089" s="22"/>
      <c r="AD1089" s="22"/>
      <c r="AE1089" s="22"/>
    </row>
    <row r="1090">
      <c r="A1090" s="22"/>
      <c r="B1090" s="22" t="str">
        <f>IF(ISBLANK(A1090),"",VLOOKUP(A1090,DOI_URL!$B$1:$C$74,2,FALSE()))</f>
        <v/>
      </c>
      <c r="C1090" s="22"/>
      <c r="D1090" s="22"/>
      <c r="E1090" s="22"/>
      <c r="F1090" s="22"/>
      <c r="G1090" s="22"/>
      <c r="H1090" s="22"/>
      <c r="I1090" s="22"/>
      <c r="J1090" s="22"/>
      <c r="K1090" s="22"/>
      <c r="L1090" s="22"/>
      <c r="M1090" s="22"/>
      <c r="N1090" s="22"/>
      <c r="O1090" s="22"/>
      <c r="P1090" s="22"/>
      <c r="Q1090" s="22"/>
      <c r="R1090" s="22"/>
      <c r="S1090" s="22"/>
      <c r="T1090" s="22"/>
      <c r="U1090" s="22"/>
      <c r="V1090" s="22"/>
      <c r="W1090" s="22"/>
      <c r="X1090" s="22"/>
      <c r="Y1090" s="22"/>
      <c r="Z1090" s="22"/>
      <c r="AA1090" s="22"/>
      <c r="AB1090" s="22"/>
      <c r="AC1090" s="22"/>
      <c r="AD1090" s="22"/>
      <c r="AE1090" s="22"/>
    </row>
    <row r="1091">
      <c r="A1091" s="22"/>
      <c r="B1091" s="22" t="str">
        <f>IF(ISBLANK(A1091),"",VLOOKUP(A1091,DOI_URL!$B$1:$C$74,2,FALSE()))</f>
        <v/>
      </c>
      <c r="C1091" s="22"/>
      <c r="D1091" s="22"/>
      <c r="E1091" s="22"/>
      <c r="F1091" s="22"/>
      <c r="G1091" s="22"/>
      <c r="H1091" s="22"/>
      <c r="I1091" s="22"/>
      <c r="J1091" s="22"/>
      <c r="K1091" s="22"/>
      <c r="L1091" s="22"/>
      <c r="M1091" s="22"/>
      <c r="N1091" s="22"/>
      <c r="O1091" s="22"/>
      <c r="P1091" s="22"/>
      <c r="Q1091" s="22"/>
      <c r="R1091" s="22"/>
      <c r="S1091" s="22"/>
      <c r="T1091" s="22"/>
      <c r="U1091" s="22"/>
      <c r="V1091" s="22"/>
      <c r="W1091" s="22"/>
      <c r="X1091" s="22"/>
      <c r="Y1091" s="22"/>
      <c r="Z1091" s="22"/>
      <c r="AA1091" s="22"/>
      <c r="AB1091" s="22"/>
      <c r="AC1091" s="22"/>
      <c r="AD1091" s="22"/>
      <c r="AE1091" s="22"/>
    </row>
    <row r="1092">
      <c r="A1092" s="22"/>
      <c r="B1092" s="22" t="str">
        <f>IF(ISBLANK(A1092),"",VLOOKUP(A1092,DOI_URL!$B$1:$C$74,2,FALSE()))</f>
        <v/>
      </c>
      <c r="C1092" s="22"/>
      <c r="D1092" s="22"/>
      <c r="E1092" s="22"/>
      <c r="F1092" s="22"/>
      <c r="G1092" s="22"/>
      <c r="H1092" s="22"/>
      <c r="I1092" s="22"/>
      <c r="J1092" s="22"/>
      <c r="K1092" s="22"/>
      <c r="L1092" s="22"/>
      <c r="M1092" s="22"/>
      <c r="N1092" s="22"/>
      <c r="O1092" s="22"/>
      <c r="P1092" s="22"/>
      <c r="Q1092" s="22"/>
      <c r="R1092" s="22"/>
      <c r="S1092" s="22"/>
      <c r="T1092" s="22"/>
      <c r="U1092" s="22"/>
      <c r="V1092" s="22"/>
      <c r="W1092" s="22"/>
      <c r="X1092" s="22"/>
      <c r="Y1092" s="22"/>
      <c r="Z1092" s="22"/>
      <c r="AA1092" s="22"/>
      <c r="AB1092" s="22"/>
      <c r="AC1092" s="22"/>
      <c r="AD1092" s="22"/>
      <c r="AE1092" s="22"/>
    </row>
    <row r="1093">
      <c r="A1093" s="22"/>
      <c r="B1093" s="22" t="str">
        <f>IF(ISBLANK(A1093),"",VLOOKUP(A1093,DOI_URL!$B$1:$C$74,2,FALSE()))</f>
        <v/>
      </c>
      <c r="C1093" s="22"/>
      <c r="D1093" s="22"/>
      <c r="E1093" s="22"/>
      <c r="F1093" s="22"/>
      <c r="G1093" s="22"/>
      <c r="H1093" s="22"/>
      <c r="I1093" s="22"/>
      <c r="J1093" s="22"/>
      <c r="K1093" s="22"/>
      <c r="L1093" s="22"/>
      <c r="M1093" s="22"/>
      <c r="N1093" s="22"/>
      <c r="O1093" s="22"/>
      <c r="P1093" s="22"/>
      <c r="Q1093" s="22"/>
      <c r="R1093" s="22"/>
      <c r="S1093" s="22"/>
      <c r="T1093" s="22"/>
      <c r="U1093" s="22"/>
      <c r="V1093" s="22"/>
      <c r="W1093" s="22"/>
      <c r="X1093" s="22"/>
      <c r="Y1093" s="22"/>
      <c r="Z1093" s="22"/>
      <c r="AA1093" s="22"/>
      <c r="AB1093" s="22"/>
      <c r="AC1093" s="22"/>
      <c r="AD1093" s="22"/>
      <c r="AE1093" s="22"/>
    </row>
    <row r="1094">
      <c r="A1094" s="22"/>
      <c r="B1094" s="22" t="str">
        <f>IF(ISBLANK(A1094),"",VLOOKUP(A1094,DOI_URL!$B$1:$C$74,2,FALSE()))</f>
        <v/>
      </c>
      <c r="C1094" s="22"/>
      <c r="D1094" s="22"/>
      <c r="E1094" s="22"/>
      <c r="F1094" s="22"/>
      <c r="G1094" s="22"/>
      <c r="H1094" s="22"/>
      <c r="I1094" s="22"/>
      <c r="J1094" s="22"/>
      <c r="K1094" s="22"/>
      <c r="L1094" s="22"/>
      <c r="M1094" s="22"/>
      <c r="N1094" s="22"/>
      <c r="O1094" s="22"/>
      <c r="P1094" s="22"/>
      <c r="Q1094" s="22"/>
      <c r="R1094" s="22"/>
      <c r="S1094" s="22"/>
      <c r="T1094" s="22"/>
      <c r="U1094" s="22"/>
      <c r="V1094" s="22"/>
      <c r="W1094" s="22"/>
      <c r="X1094" s="22"/>
      <c r="Y1094" s="22"/>
      <c r="Z1094" s="22"/>
      <c r="AA1094" s="22"/>
      <c r="AB1094" s="22"/>
      <c r="AC1094" s="22"/>
      <c r="AD1094" s="22"/>
      <c r="AE1094" s="22"/>
    </row>
    <row r="1095">
      <c r="A1095" s="22"/>
      <c r="B1095" s="22" t="str">
        <f>IF(ISBLANK(A1095),"",VLOOKUP(A1095,DOI_URL!$B$1:$C$74,2,FALSE()))</f>
        <v/>
      </c>
      <c r="C1095" s="22"/>
      <c r="D1095" s="22"/>
      <c r="E1095" s="22"/>
      <c r="F1095" s="22"/>
      <c r="G1095" s="22"/>
      <c r="H1095" s="22"/>
      <c r="I1095" s="22"/>
      <c r="J1095" s="22"/>
      <c r="K1095" s="22"/>
      <c r="L1095" s="22"/>
      <c r="M1095" s="22"/>
      <c r="N1095" s="22"/>
      <c r="O1095" s="22"/>
      <c r="P1095" s="22"/>
      <c r="Q1095" s="22"/>
      <c r="R1095" s="22"/>
      <c r="S1095" s="22"/>
      <c r="T1095" s="22"/>
      <c r="U1095" s="22"/>
      <c r="V1095" s="22"/>
      <c r="W1095" s="22"/>
      <c r="X1095" s="22"/>
      <c r="Y1095" s="22"/>
      <c r="Z1095" s="22"/>
      <c r="AA1095" s="22"/>
      <c r="AB1095" s="22"/>
      <c r="AC1095" s="22"/>
      <c r="AD1095" s="22"/>
      <c r="AE1095" s="22"/>
    </row>
    <row r="1096">
      <c r="A1096" s="22"/>
      <c r="B1096" s="22" t="str">
        <f>IF(ISBLANK(A1096),"",VLOOKUP(A1096,DOI_URL!$B$1:$C$74,2,FALSE()))</f>
        <v/>
      </c>
      <c r="C1096" s="22"/>
      <c r="D1096" s="22"/>
      <c r="E1096" s="22"/>
      <c r="F1096" s="22"/>
      <c r="G1096" s="22"/>
      <c r="H1096" s="22"/>
      <c r="I1096" s="22"/>
      <c r="J1096" s="22"/>
      <c r="K1096" s="22"/>
      <c r="L1096" s="22"/>
      <c r="M1096" s="22"/>
      <c r="N1096" s="22"/>
      <c r="O1096" s="22"/>
      <c r="P1096" s="22"/>
      <c r="Q1096" s="22"/>
      <c r="R1096" s="22"/>
      <c r="S1096" s="22"/>
      <c r="T1096" s="22"/>
      <c r="U1096" s="22"/>
      <c r="V1096" s="22"/>
      <c r="W1096" s="22"/>
      <c r="X1096" s="22"/>
      <c r="Y1096" s="22"/>
      <c r="Z1096" s="22"/>
      <c r="AA1096" s="22"/>
      <c r="AB1096" s="22"/>
      <c r="AC1096" s="22"/>
      <c r="AD1096" s="22"/>
      <c r="AE1096" s="22"/>
    </row>
    <row r="1097">
      <c r="A1097" s="22"/>
      <c r="B1097" s="22" t="str">
        <f>IF(ISBLANK(A1097),"",VLOOKUP(A1097,DOI_URL!$B$1:$C$74,2,FALSE()))</f>
        <v/>
      </c>
      <c r="C1097" s="22"/>
      <c r="D1097" s="22"/>
      <c r="E1097" s="22"/>
      <c r="F1097" s="22"/>
      <c r="G1097" s="22"/>
      <c r="H1097" s="22"/>
      <c r="I1097" s="22"/>
      <c r="J1097" s="22"/>
      <c r="K1097" s="22"/>
      <c r="L1097" s="22"/>
      <c r="M1097" s="22"/>
      <c r="N1097" s="22"/>
      <c r="O1097" s="22"/>
      <c r="P1097" s="22"/>
      <c r="Q1097" s="22"/>
      <c r="R1097" s="22"/>
      <c r="S1097" s="22"/>
      <c r="T1097" s="22"/>
      <c r="U1097" s="22"/>
      <c r="V1097" s="22"/>
      <c r="W1097" s="22"/>
      <c r="X1097" s="22"/>
      <c r="Y1097" s="22"/>
      <c r="Z1097" s="22"/>
      <c r="AA1097" s="22"/>
      <c r="AB1097" s="22"/>
      <c r="AC1097" s="22"/>
      <c r="AD1097" s="22"/>
      <c r="AE1097" s="22"/>
    </row>
    <row r="1098">
      <c r="A1098" s="22"/>
      <c r="B1098" s="22" t="str">
        <f>IF(ISBLANK(A1098),"",VLOOKUP(A1098,DOI_URL!$B$1:$C$74,2,FALSE()))</f>
        <v/>
      </c>
      <c r="C1098" s="22"/>
      <c r="D1098" s="22"/>
      <c r="E1098" s="22"/>
      <c r="F1098" s="22"/>
      <c r="G1098" s="22"/>
      <c r="H1098" s="22"/>
      <c r="I1098" s="22"/>
      <c r="J1098" s="22"/>
      <c r="K1098" s="22"/>
      <c r="L1098" s="22"/>
      <c r="M1098" s="22"/>
      <c r="N1098" s="22"/>
      <c r="O1098" s="22"/>
      <c r="P1098" s="22"/>
      <c r="Q1098" s="22"/>
      <c r="R1098" s="22"/>
      <c r="S1098" s="22"/>
      <c r="T1098" s="22"/>
      <c r="U1098" s="22"/>
      <c r="V1098" s="22"/>
      <c r="W1098" s="22"/>
      <c r="X1098" s="22"/>
      <c r="Y1098" s="22"/>
      <c r="Z1098" s="22"/>
      <c r="AA1098" s="22"/>
      <c r="AB1098" s="22"/>
      <c r="AC1098" s="22"/>
      <c r="AD1098" s="22"/>
      <c r="AE1098" s="22"/>
    </row>
    <row r="1099">
      <c r="A1099" s="22"/>
      <c r="B1099" s="22" t="str">
        <f>IF(ISBLANK(A1099),"",VLOOKUP(A1099,DOI_URL!$B$1:$C$74,2,FALSE()))</f>
        <v/>
      </c>
      <c r="C1099" s="22"/>
      <c r="D1099" s="22"/>
      <c r="E1099" s="22"/>
      <c r="F1099" s="22"/>
      <c r="G1099" s="22"/>
      <c r="H1099" s="22"/>
      <c r="I1099" s="22"/>
      <c r="J1099" s="22"/>
      <c r="K1099" s="22"/>
      <c r="L1099" s="22"/>
      <c r="M1099" s="22"/>
      <c r="N1099" s="22"/>
      <c r="O1099" s="22"/>
      <c r="P1099" s="22"/>
      <c r="Q1099" s="22"/>
      <c r="R1099" s="22"/>
      <c r="S1099" s="22"/>
      <c r="T1099" s="22"/>
      <c r="U1099" s="22"/>
      <c r="V1099" s="22"/>
      <c r="W1099" s="22"/>
      <c r="X1099" s="22"/>
      <c r="Y1099" s="22"/>
      <c r="Z1099" s="22"/>
      <c r="AA1099" s="22"/>
      <c r="AB1099" s="22"/>
      <c r="AC1099" s="22"/>
      <c r="AD1099" s="22"/>
      <c r="AE1099" s="22"/>
    </row>
    <row r="1100">
      <c r="A1100" s="22"/>
      <c r="B1100" s="22" t="str">
        <f>IF(ISBLANK(A1100),"",VLOOKUP(A1100,DOI_URL!$B$1:$C$74,2,FALSE()))</f>
        <v/>
      </c>
      <c r="C1100" s="22"/>
      <c r="D1100" s="22"/>
      <c r="E1100" s="22"/>
      <c r="F1100" s="22"/>
      <c r="G1100" s="22"/>
      <c r="H1100" s="22"/>
      <c r="I1100" s="22"/>
      <c r="J1100" s="22"/>
      <c r="K1100" s="22"/>
      <c r="L1100" s="22"/>
      <c r="M1100" s="22"/>
      <c r="N1100" s="22"/>
      <c r="O1100" s="22"/>
      <c r="P1100" s="22"/>
      <c r="Q1100" s="22"/>
      <c r="R1100" s="22"/>
      <c r="S1100" s="22"/>
      <c r="T1100" s="22"/>
      <c r="U1100" s="22"/>
      <c r="V1100" s="22"/>
      <c r="W1100" s="22"/>
      <c r="X1100" s="22"/>
      <c r="Y1100" s="22"/>
      <c r="Z1100" s="22"/>
      <c r="AA1100" s="22"/>
      <c r="AB1100" s="22"/>
      <c r="AC1100" s="22"/>
      <c r="AD1100" s="22"/>
      <c r="AE1100" s="22"/>
    </row>
    <row r="1101">
      <c r="A1101" s="22"/>
      <c r="B1101" s="22" t="str">
        <f>IF(ISBLANK(A1101),"",VLOOKUP(A1101,DOI_URL!$B$1:$C$74,2,FALSE()))</f>
        <v/>
      </c>
      <c r="C1101" s="22"/>
      <c r="D1101" s="22"/>
      <c r="E1101" s="22"/>
      <c r="F1101" s="22"/>
      <c r="G1101" s="22"/>
      <c r="H1101" s="22"/>
      <c r="I1101" s="22"/>
      <c r="J1101" s="22"/>
      <c r="K1101" s="22"/>
      <c r="L1101" s="22"/>
      <c r="M1101" s="22"/>
      <c r="N1101" s="22"/>
      <c r="O1101" s="22"/>
      <c r="P1101" s="22"/>
      <c r="Q1101" s="22"/>
      <c r="R1101" s="22"/>
      <c r="S1101" s="22"/>
      <c r="T1101" s="22"/>
      <c r="U1101" s="22"/>
      <c r="V1101" s="22"/>
      <c r="W1101" s="22"/>
      <c r="X1101" s="22"/>
      <c r="Y1101" s="22"/>
      <c r="Z1101" s="22"/>
      <c r="AA1101" s="22"/>
      <c r="AB1101" s="22"/>
      <c r="AC1101" s="22"/>
      <c r="AD1101" s="22"/>
      <c r="AE1101" s="22"/>
    </row>
    <row r="1102">
      <c r="A1102" s="22"/>
      <c r="B1102" s="22" t="str">
        <f>IF(ISBLANK(A1102),"",VLOOKUP(A1102,DOI_URL!$B$1:$C$74,2,FALSE()))</f>
        <v/>
      </c>
      <c r="C1102" s="22"/>
      <c r="D1102" s="22"/>
      <c r="E1102" s="22"/>
      <c r="F1102" s="22"/>
      <c r="G1102" s="22"/>
      <c r="H1102" s="22"/>
      <c r="I1102" s="22"/>
      <c r="J1102" s="22"/>
      <c r="K1102" s="22"/>
      <c r="L1102" s="22"/>
      <c r="M1102" s="22"/>
      <c r="N1102" s="22"/>
      <c r="O1102" s="22"/>
      <c r="P1102" s="22"/>
      <c r="Q1102" s="22"/>
      <c r="R1102" s="22"/>
      <c r="S1102" s="22"/>
      <c r="T1102" s="22"/>
      <c r="U1102" s="22"/>
      <c r="V1102" s="22"/>
      <c r="W1102" s="22"/>
      <c r="X1102" s="22"/>
      <c r="Y1102" s="22"/>
      <c r="Z1102" s="22"/>
      <c r="AA1102" s="22"/>
      <c r="AB1102" s="22"/>
      <c r="AC1102" s="22"/>
      <c r="AD1102" s="22"/>
      <c r="AE1102" s="22"/>
    </row>
    <row r="1103">
      <c r="A1103" s="22"/>
      <c r="B1103" s="22" t="str">
        <f>IF(ISBLANK(A1103),"",VLOOKUP(A1103,DOI_URL!$B$1:$C$74,2,FALSE()))</f>
        <v/>
      </c>
      <c r="C1103" s="22"/>
      <c r="D1103" s="22"/>
      <c r="E1103" s="22"/>
      <c r="F1103" s="22"/>
      <c r="G1103" s="22"/>
      <c r="H1103" s="22"/>
      <c r="I1103" s="22"/>
      <c r="J1103" s="22"/>
      <c r="K1103" s="22"/>
      <c r="L1103" s="22"/>
      <c r="M1103" s="22"/>
      <c r="N1103" s="22"/>
      <c r="O1103" s="22"/>
      <c r="P1103" s="22"/>
      <c r="Q1103" s="22"/>
      <c r="R1103" s="22"/>
      <c r="S1103" s="22"/>
      <c r="T1103" s="22"/>
      <c r="U1103" s="22"/>
      <c r="V1103" s="22"/>
      <c r="W1103" s="22"/>
      <c r="X1103" s="22"/>
      <c r="Y1103" s="22"/>
      <c r="Z1103" s="22"/>
      <c r="AA1103" s="22"/>
      <c r="AB1103" s="22"/>
      <c r="AC1103" s="22"/>
      <c r="AD1103" s="22"/>
      <c r="AE1103" s="22"/>
    </row>
    <row r="1104">
      <c r="A1104" s="22"/>
      <c r="B1104" s="22" t="str">
        <f>IF(ISBLANK(A1104),"",VLOOKUP(A1104,DOI_URL!$B$1:$C$74,2,FALSE()))</f>
        <v/>
      </c>
      <c r="C1104" s="22"/>
      <c r="D1104" s="22"/>
      <c r="E1104" s="22"/>
      <c r="F1104" s="22"/>
      <c r="G1104" s="22"/>
      <c r="H1104" s="22"/>
      <c r="I1104" s="22"/>
      <c r="J1104" s="22"/>
      <c r="K1104" s="22"/>
      <c r="L1104" s="22"/>
      <c r="M1104" s="22"/>
      <c r="N1104" s="22"/>
      <c r="O1104" s="22"/>
      <c r="P1104" s="22"/>
      <c r="Q1104" s="22"/>
      <c r="R1104" s="22"/>
      <c r="S1104" s="22"/>
      <c r="T1104" s="22"/>
      <c r="U1104" s="22"/>
      <c r="V1104" s="22"/>
      <c r="W1104" s="22"/>
      <c r="X1104" s="22"/>
      <c r="Y1104" s="22"/>
      <c r="Z1104" s="22"/>
      <c r="AA1104" s="22"/>
      <c r="AB1104" s="22"/>
      <c r="AC1104" s="22"/>
      <c r="AD1104" s="22"/>
      <c r="AE1104" s="22"/>
    </row>
    <row r="1105">
      <c r="A1105" s="22"/>
      <c r="B1105" s="22" t="str">
        <f>IF(ISBLANK(A1105),"",VLOOKUP(A1105,DOI_URL!$B$1:$C$74,2,FALSE()))</f>
        <v/>
      </c>
      <c r="C1105" s="22"/>
      <c r="D1105" s="22"/>
      <c r="E1105" s="22"/>
      <c r="F1105" s="22"/>
      <c r="G1105" s="22"/>
      <c r="H1105" s="22"/>
      <c r="I1105" s="22"/>
      <c r="J1105" s="22"/>
      <c r="K1105" s="22"/>
      <c r="L1105" s="22"/>
      <c r="M1105" s="22"/>
      <c r="N1105" s="22"/>
      <c r="O1105" s="22"/>
      <c r="P1105" s="22"/>
      <c r="Q1105" s="22"/>
      <c r="R1105" s="22"/>
      <c r="S1105" s="22"/>
      <c r="T1105" s="22"/>
      <c r="U1105" s="22"/>
      <c r="V1105" s="22"/>
      <c r="W1105" s="22"/>
      <c r="X1105" s="22"/>
      <c r="Y1105" s="22"/>
      <c r="Z1105" s="22"/>
      <c r="AA1105" s="22"/>
      <c r="AB1105" s="22"/>
      <c r="AC1105" s="22"/>
      <c r="AD1105" s="22"/>
      <c r="AE1105" s="22"/>
    </row>
    <row r="1106">
      <c r="A1106" s="22"/>
      <c r="B1106" s="22" t="str">
        <f>IF(ISBLANK(A1106),"",VLOOKUP(A1106,DOI_URL!$B$1:$C$74,2,FALSE()))</f>
        <v/>
      </c>
      <c r="C1106" s="22"/>
      <c r="D1106" s="22"/>
      <c r="E1106" s="22"/>
      <c r="F1106" s="22"/>
      <c r="G1106" s="22"/>
      <c r="H1106" s="22"/>
      <c r="I1106" s="22"/>
      <c r="J1106" s="22"/>
      <c r="K1106" s="22"/>
      <c r="L1106" s="22"/>
      <c r="M1106" s="22"/>
      <c r="N1106" s="22"/>
      <c r="O1106" s="22"/>
      <c r="P1106" s="22"/>
      <c r="Q1106" s="22"/>
      <c r="R1106" s="22"/>
      <c r="S1106" s="22"/>
      <c r="T1106" s="22"/>
      <c r="U1106" s="22"/>
      <c r="V1106" s="22"/>
      <c r="W1106" s="22"/>
      <c r="X1106" s="22"/>
      <c r="Y1106" s="22"/>
      <c r="Z1106" s="22"/>
      <c r="AA1106" s="22"/>
      <c r="AB1106" s="22"/>
      <c r="AC1106" s="22"/>
      <c r="AD1106" s="22"/>
      <c r="AE1106" s="22"/>
    </row>
    <row r="1107">
      <c r="A1107" s="22"/>
      <c r="B1107" s="22" t="str">
        <f>IF(ISBLANK(A1107),"",VLOOKUP(A1107,DOI_URL!$B$1:$C$74,2,FALSE()))</f>
        <v/>
      </c>
      <c r="C1107" s="22"/>
      <c r="D1107" s="22"/>
      <c r="E1107" s="22"/>
      <c r="F1107" s="22"/>
      <c r="G1107" s="22"/>
      <c r="H1107" s="22"/>
      <c r="I1107" s="22"/>
      <c r="J1107" s="22"/>
      <c r="K1107" s="22"/>
      <c r="L1107" s="22"/>
      <c r="M1107" s="22"/>
      <c r="N1107" s="22"/>
      <c r="O1107" s="22"/>
      <c r="P1107" s="22"/>
      <c r="Q1107" s="22"/>
      <c r="R1107" s="22"/>
      <c r="S1107" s="22"/>
      <c r="T1107" s="22"/>
      <c r="U1107" s="22"/>
      <c r="V1107" s="22"/>
      <c r="W1107" s="22"/>
      <c r="X1107" s="22"/>
      <c r="Y1107" s="22"/>
      <c r="Z1107" s="22"/>
      <c r="AA1107" s="22"/>
      <c r="AB1107" s="22"/>
      <c r="AC1107" s="22"/>
      <c r="AD1107" s="22"/>
      <c r="AE1107" s="22"/>
    </row>
    <row r="1108">
      <c r="A1108" s="22"/>
      <c r="B1108" s="22" t="str">
        <f>IF(ISBLANK(A1108),"",VLOOKUP(A1108,DOI_URL!$B$1:$C$74,2,FALSE()))</f>
        <v/>
      </c>
      <c r="C1108" s="22"/>
      <c r="D1108" s="22"/>
      <c r="E1108" s="22"/>
      <c r="F1108" s="22"/>
      <c r="G1108" s="22"/>
      <c r="H1108" s="22"/>
      <c r="I1108" s="22"/>
      <c r="J1108" s="22"/>
      <c r="K1108" s="22"/>
      <c r="L1108" s="22"/>
      <c r="M1108" s="22"/>
      <c r="N1108" s="22"/>
      <c r="O1108" s="22"/>
      <c r="P1108" s="22"/>
      <c r="Q1108" s="22"/>
      <c r="R1108" s="22"/>
      <c r="S1108" s="22"/>
      <c r="T1108" s="22"/>
      <c r="U1108" s="22"/>
      <c r="V1108" s="22"/>
      <c r="W1108" s="22"/>
      <c r="X1108" s="22"/>
      <c r="Y1108" s="22"/>
      <c r="Z1108" s="22"/>
      <c r="AA1108" s="22"/>
      <c r="AB1108" s="22"/>
      <c r="AC1108" s="22"/>
      <c r="AD1108" s="22"/>
      <c r="AE1108" s="22"/>
    </row>
    <row r="1109">
      <c r="A1109" s="22"/>
      <c r="B1109" s="22" t="str">
        <f>IF(ISBLANK(A1109),"",VLOOKUP(A1109,DOI_URL!$B$1:$C$74,2,FALSE()))</f>
        <v/>
      </c>
      <c r="C1109" s="22"/>
      <c r="D1109" s="22"/>
      <c r="E1109" s="22"/>
      <c r="F1109" s="22"/>
      <c r="G1109" s="22"/>
      <c r="H1109" s="22"/>
      <c r="I1109" s="22"/>
      <c r="J1109" s="22"/>
      <c r="K1109" s="22"/>
      <c r="L1109" s="22"/>
      <c r="M1109" s="22"/>
      <c r="N1109" s="22"/>
      <c r="O1109" s="22"/>
      <c r="P1109" s="22"/>
      <c r="Q1109" s="22"/>
      <c r="R1109" s="22"/>
      <c r="S1109" s="22"/>
      <c r="T1109" s="22"/>
      <c r="U1109" s="22"/>
      <c r="V1109" s="22"/>
      <c r="W1109" s="22"/>
      <c r="X1109" s="22"/>
      <c r="Y1109" s="22"/>
      <c r="Z1109" s="22"/>
      <c r="AA1109" s="22"/>
      <c r="AB1109" s="22"/>
      <c r="AC1109" s="22"/>
      <c r="AD1109" s="22"/>
      <c r="AE1109" s="22"/>
    </row>
    <row r="1110">
      <c r="A1110" s="22"/>
      <c r="B1110" s="22" t="str">
        <f>IF(ISBLANK(A1110),"",VLOOKUP(A1110,DOI_URL!$B$1:$C$74,2,FALSE()))</f>
        <v/>
      </c>
      <c r="C1110" s="22"/>
      <c r="D1110" s="22"/>
      <c r="E1110" s="22"/>
      <c r="F1110" s="22"/>
      <c r="G1110" s="22"/>
      <c r="H1110" s="22"/>
      <c r="I1110" s="22"/>
      <c r="J1110" s="22"/>
      <c r="K1110" s="22"/>
      <c r="L1110" s="22"/>
      <c r="M1110" s="22"/>
      <c r="N1110" s="22"/>
      <c r="O1110" s="22"/>
      <c r="P1110" s="22"/>
      <c r="Q1110" s="22"/>
      <c r="R1110" s="22"/>
      <c r="S1110" s="22"/>
      <c r="T1110" s="22"/>
      <c r="U1110" s="22"/>
      <c r="V1110" s="22"/>
      <c r="W1110" s="22"/>
      <c r="X1110" s="22"/>
      <c r="Y1110" s="22"/>
      <c r="Z1110" s="22"/>
      <c r="AA1110" s="22"/>
      <c r="AB1110" s="22"/>
      <c r="AC1110" s="22"/>
      <c r="AD1110" s="22"/>
      <c r="AE1110" s="22"/>
    </row>
    <row r="1111">
      <c r="A1111" s="22"/>
      <c r="B1111" s="22" t="str">
        <f>IF(ISBLANK(A1111),"",VLOOKUP(A1111,DOI_URL!$B$1:$C$74,2,FALSE()))</f>
        <v/>
      </c>
      <c r="C1111" s="22"/>
      <c r="D1111" s="22"/>
      <c r="E1111" s="22"/>
      <c r="F1111" s="22"/>
      <c r="G1111" s="22"/>
      <c r="H1111" s="22"/>
      <c r="I1111" s="22"/>
      <c r="J1111" s="22"/>
      <c r="K1111" s="22"/>
      <c r="L1111" s="22"/>
      <c r="M1111" s="22"/>
      <c r="N1111" s="22"/>
      <c r="O1111" s="22"/>
      <c r="P1111" s="22"/>
      <c r="Q1111" s="22"/>
      <c r="R1111" s="22"/>
      <c r="S1111" s="22"/>
      <c r="T1111" s="22"/>
      <c r="U1111" s="22"/>
      <c r="V1111" s="22"/>
      <c r="W1111" s="22"/>
      <c r="X1111" s="22"/>
      <c r="Y1111" s="22"/>
      <c r="Z1111" s="22"/>
      <c r="AA1111" s="22"/>
      <c r="AB1111" s="22"/>
      <c r="AC1111" s="22"/>
      <c r="AD1111" s="22"/>
      <c r="AE1111" s="22"/>
    </row>
    <row r="1112">
      <c r="A1112" s="22"/>
      <c r="B1112" s="22" t="str">
        <f>IF(ISBLANK(A1112),"",VLOOKUP(A1112,DOI_URL!$B$1:$C$74,2,FALSE()))</f>
        <v/>
      </c>
      <c r="C1112" s="22"/>
      <c r="D1112" s="22"/>
      <c r="E1112" s="22"/>
      <c r="F1112" s="22"/>
      <c r="G1112" s="22"/>
      <c r="H1112" s="22"/>
      <c r="I1112" s="22"/>
      <c r="J1112" s="22"/>
      <c r="K1112" s="22"/>
      <c r="L1112" s="22"/>
      <c r="M1112" s="22"/>
      <c r="N1112" s="22"/>
      <c r="O1112" s="22"/>
      <c r="P1112" s="22"/>
      <c r="Q1112" s="22"/>
      <c r="R1112" s="22"/>
      <c r="S1112" s="22"/>
      <c r="T1112" s="22"/>
      <c r="U1112" s="22"/>
      <c r="V1112" s="22"/>
      <c r="W1112" s="22"/>
      <c r="X1112" s="22"/>
      <c r="Y1112" s="22"/>
      <c r="Z1112" s="22"/>
      <c r="AA1112" s="22"/>
      <c r="AB1112" s="22"/>
      <c r="AC1112" s="22"/>
      <c r="AD1112" s="22"/>
      <c r="AE1112" s="22"/>
    </row>
    <row r="1113">
      <c r="A1113" s="22"/>
      <c r="B1113" s="22" t="str">
        <f>IF(ISBLANK(A1113),"",VLOOKUP(A1113,DOI_URL!$B$1:$C$74,2,FALSE()))</f>
        <v/>
      </c>
      <c r="C1113" s="22"/>
      <c r="D1113" s="22"/>
      <c r="E1113" s="22"/>
      <c r="F1113" s="22"/>
      <c r="G1113" s="22"/>
      <c r="H1113" s="22"/>
      <c r="I1113" s="22"/>
      <c r="J1113" s="22"/>
      <c r="K1113" s="22"/>
      <c r="L1113" s="22"/>
      <c r="M1113" s="22"/>
      <c r="N1113" s="22"/>
      <c r="O1113" s="22"/>
      <c r="P1113" s="22"/>
      <c r="Q1113" s="22"/>
      <c r="R1113" s="22"/>
      <c r="S1113" s="22"/>
      <c r="T1113" s="22"/>
      <c r="U1113" s="22"/>
      <c r="V1113" s="22"/>
      <c r="W1113" s="22"/>
      <c r="X1113" s="22"/>
      <c r="Y1113" s="22"/>
      <c r="Z1113" s="22"/>
      <c r="AA1113" s="22"/>
      <c r="AB1113" s="22"/>
      <c r="AC1113" s="22"/>
      <c r="AD1113" s="22"/>
      <c r="AE1113" s="22"/>
    </row>
    <row r="1114">
      <c r="A1114" s="22"/>
      <c r="B1114" s="22" t="str">
        <f>IF(ISBLANK(A1114),"",VLOOKUP(A1114,DOI_URL!$B$1:$C$74,2,FALSE()))</f>
        <v/>
      </c>
      <c r="C1114" s="22"/>
      <c r="D1114" s="22"/>
      <c r="E1114" s="22"/>
      <c r="F1114" s="22"/>
      <c r="G1114" s="22"/>
      <c r="H1114" s="22"/>
      <c r="I1114" s="22"/>
      <c r="J1114" s="22"/>
      <c r="K1114" s="22"/>
      <c r="L1114" s="22"/>
      <c r="M1114" s="22"/>
      <c r="N1114" s="22"/>
      <c r="O1114" s="22"/>
      <c r="P1114" s="22"/>
      <c r="Q1114" s="22"/>
      <c r="R1114" s="22"/>
      <c r="S1114" s="22"/>
      <c r="T1114" s="22"/>
      <c r="U1114" s="22"/>
      <c r="V1114" s="22"/>
      <c r="W1114" s="22"/>
      <c r="X1114" s="22"/>
      <c r="Y1114" s="22"/>
      <c r="Z1114" s="22"/>
      <c r="AA1114" s="22"/>
      <c r="AB1114" s="22"/>
      <c r="AC1114" s="22"/>
      <c r="AD1114" s="22"/>
      <c r="AE1114" s="22"/>
    </row>
    <row r="1115">
      <c r="A1115" s="22"/>
      <c r="B1115" s="22" t="str">
        <f>IF(ISBLANK(A1115),"",VLOOKUP(A1115,DOI_URL!$B$1:$C$74,2,FALSE()))</f>
        <v/>
      </c>
      <c r="C1115" s="22"/>
      <c r="D1115" s="22"/>
      <c r="E1115" s="22"/>
      <c r="F1115" s="22"/>
      <c r="G1115" s="22"/>
      <c r="H1115" s="22"/>
      <c r="I1115" s="22"/>
      <c r="J1115" s="22"/>
      <c r="K1115" s="22"/>
      <c r="L1115" s="22"/>
      <c r="M1115" s="22"/>
      <c r="N1115" s="22"/>
      <c r="O1115" s="22"/>
      <c r="P1115" s="22"/>
      <c r="Q1115" s="22"/>
      <c r="R1115" s="22"/>
      <c r="S1115" s="22"/>
      <c r="T1115" s="22"/>
      <c r="U1115" s="22"/>
      <c r="V1115" s="22"/>
      <c r="W1115" s="22"/>
      <c r="X1115" s="22"/>
      <c r="Y1115" s="22"/>
      <c r="Z1115" s="22"/>
      <c r="AA1115" s="22"/>
      <c r="AB1115" s="22"/>
      <c r="AC1115" s="22"/>
      <c r="AD1115" s="22"/>
      <c r="AE1115" s="22"/>
    </row>
    <row r="1116">
      <c r="A1116" s="22"/>
      <c r="B1116" s="22" t="str">
        <f>IF(ISBLANK(A1116),"",VLOOKUP(A1116,DOI_URL!$B$1:$C$74,2,FALSE()))</f>
        <v/>
      </c>
      <c r="C1116" s="22"/>
      <c r="D1116" s="22"/>
      <c r="E1116" s="22"/>
      <c r="F1116" s="22"/>
      <c r="G1116" s="22"/>
      <c r="H1116" s="22"/>
      <c r="I1116" s="22"/>
      <c r="J1116" s="22"/>
      <c r="K1116" s="22"/>
      <c r="L1116" s="22"/>
      <c r="M1116" s="22"/>
      <c r="N1116" s="22"/>
      <c r="O1116" s="22"/>
      <c r="P1116" s="22"/>
      <c r="Q1116" s="22"/>
      <c r="R1116" s="22"/>
      <c r="S1116" s="22"/>
      <c r="T1116" s="22"/>
      <c r="U1116" s="22"/>
      <c r="V1116" s="22"/>
      <c r="W1116" s="22"/>
      <c r="X1116" s="22"/>
      <c r="Y1116" s="22"/>
      <c r="Z1116" s="22"/>
      <c r="AA1116" s="22"/>
      <c r="AB1116" s="22"/>
      <c r="AC1116" s="22"/>
      <c r="AD1116" s="22"/>
      <c r="AE1116" s="22"/>
    </row>
    <row r="1117">
      <c r="A1117" s="22"/>
      <c r="B1117" s="22" t="str">
        <f>IF(ISBLANK(A1117),"",VLOOKUP(A1117,DOI_URL!$B$1:$C$74,2,FALSE()))</f>
        <v/>
      </c>
      <c r="C1117" s="22"/>
      <c r="D1117" s="22"/>
      <c r="E1117" s="22"/>
      <c r="F1117" s="22"/>
      <c r="G1117" s="22"/>
      <c r="H1117" s="22"/>
      <c r="I1117" s="22"/>
      <c r="J1117" s="22"/>
      <c r="K1117" s="22"/>
      <c r="L1117" s="22"/>
      <c r="M1117" s="22"/>
      <c r="N1117" s="22"/>
      <c r="O1117" s="22"/>
      <c r="P1117" s="22"/>
      <c r="Q1117" s="22"/>
      <c r="R1117" s="22"/>
      <c r="S1117" s="22"/>
      <c r="T1117" s="22"/>
      <c r="U1117" s="22"/>
      <c r="V1117" s="22"/>
      <c r="W1117" s="22"/>
      <c r="X1117" s="22"/>
      <c r="Y1117" s="22"/>
      <c r="Z1117" s="22"/>
      <c r="AA1117" s="22"/>
      <c r="AB1117" s="22"/>
      <c r="AC1117" s="22"/>
      <c r="AD1117" s="22"/>
      <c r="AE1117" s="22"/>
    </row>
    <row r="1118">
      <c r="A1118" s="22"/>
      <c r="B1118" s="22" t="str">
        <f>IF(ISBLANK(A1118),"",VLOOKUP(A1118,DOI_URL!$B$1:$C$74,2,FALSE()))</f>
        <v/>
      </c>
      <c r="C1118" s="22"/>
      <c r="D1118" s="22"/>
      <c r="E1118" s="22"/>
      <c r="F1118" s="22"/>
      <c r="G1118" s="22"/>
      <c r="H1118" s="22"/>
      <c r="I1118" s="22"/>
      <c r="J1118" s="22"/>
      <c r="K1118" s="22"/>
      <c r="L1118" s="22"/>
      <c r="M1118" s="22"/>
      <c r="N1118" s="22"/>
      <c r="O1118" s="22"/>
      <c r="P1118" s="22"/>
      <c r="Q1118" s="22"/>
      <c r="R1118" s="22"/>
      <c r="S1118" s="22"/>
      <c r="T1118" s="22"/>
      <c r="U1118" s="22"/>
      <c r="V1118" s="22"/>
      <c r="W1118" s="22"/>
      <c r="X1118" s="22"/>
      <c r="Y1118" s="22"/>
      <c r="Z1118" s="22"/>
      <c r="AA1118" s="22"/>
      <c r="AB1118" s="22"/>
      <c r="AC1118" s="22"/>
      <c r="AD1118" s="22"/>
      <c r="AE1118" s="22"/>
    </row>
    <row r="1119">
      <c r="A1119" s="22"/>
      <c r="B1119" s="22" t="str">
        <f>IF(ISBLANK(A1119),"",VLOOKUP(A1119,DOI_URL!$B$1:$C$74,2,FALSE()))</f>
        <v/>
      </c>
      <c r="C1119" s="22"/>
      <c r="D1119" s="22"/>
      <c r="E1119" s="22"/>
      <c r="F1119" s="22"/>
      <c r="G1119" s="22"/>
      <c r="H1119" s="22"/>
      <c r="I1119" s="22"/>
      <c r="J1119" s="22"/>
      <c r="K1119" s="22"/>
      <c r="L1119" s="22"/>
      <c r="M1119" s="22"/>
      <c r="N1119" s="22"/>
      <c r="O1119" s="22"/>
      <c r="P1119" s="22"/>
      <c r="Q1119" s="22"/>
      <c r="R1119" s="22"/>
      <c r="S1119" s="22"/>
      <c r="T1119" s="22"/>
      <c r="U1119" s="22"/>
      <c r="V1119" s="22"/>
      <c r="W1119" s="22"/>
      <c r="X1119" s="22"/>
      <c r="Y1119" s="22"/>
      <c r="Z1119" s="22"/>
      <c r="AA1119" s="22"/>
      <c r="AB1119" s="22"/>
      <c r="AC1119" s="22"/>
      <c r="AD1119" s="22"/>
      <c r="AE1119" s="22"/>
    </row>
    <row r="1120">
      <c r="A1120" s="22"/>
      <c r="B1120" s="22" t="str">
        <f>IF(ISBLANK(A1120),"",VLOOKUP(A1120,DOI_URL!$B$1:$C$74,2,FALSE()))</f>
        <v/>
      </c>
      <c r="C1120" s="22"/>
      <c r="D1120" s="22"/>
      <c r="E1120" s="22"/>
      <c r="F1120" s="22"/>
      <c r="G1120" s="22"/>
      <c r="H1120" s="22"/>
      <c r="I1120" s="22"/>
      <c r="J1120" s="22"/>
      <c r="K1120" s="22"/>
      <c r="L1120" s="22"/>
      <c r="M1120" s="22"/>
      <c r="N1120" s="22"/>
      <c r="O1120" s="22"/>
      <c r="P1120" s="22"/>
      <c r="Q1120" s="22"/>
      <c r="R1120" s="22"/>
      <c r="S1120" s="22"/>
      <c r="T1120" s="22"/>
      <c r="U1120" s="22"/>
      <c r="V1120" s="22"/>
      <c r="W1120" s="22"/>
      <c r="X1120" s="22"/>
      <c r="Y1120" s="22"/>
      <c r="Z1120" s="22"/>
      <c r="AA1120" s="22"/>
      <c r="AB1120" s="22"/>
      <c r="AC1120" s="22"/>
      <c r="AD1120" s="22"/>
      <c r="AE1120" s="22"/>
    </row>
    <row r="1121">
      <c r="A1121" s="22"/>
      <c r="B1121" s="22" t="str">
        <f>IF(ISBLANK(A1121),"",VLOOKUP(A1121,DOI_URL!$B$1:$C$74,2,FALSE()))</f>
        <v/>
      </c>
      <c r="C1121" s="22"/>
      <c r="D1121" s="22"/>
      <c r="E1121" s="22"/>
      <c r="F1121" s="22"/>
      <c r="G1121" s="22"/>
      <c r="H1121" s="22"/>
      <c r="I1121" s="22"/>
      <c r="J1121" s="22"/>
      <c r="K1121" s="22"/>
      <c r="L1121" s="22"/>
      <c r="M1121" s="22"/>
      <c r="N1121" s="22"/>
      <c r="O1121" s="22"/>
      <c r="P1121" s="22"/>
      <c r="Q1121" s="22"/>
      <c r="R1121" s="22"/>
      <c r="S1121" s="22"/>
      <c r="T1121" s="22"/>
      <c r="U1121" s="22"/>
      <c r="V1121" s="22"/>
      <c r="W1121" s="22"/>
      <c r="X1121" s="22"/>
      <c r="Y1121" s="22"/>
      <c r="Z1121" s="22"/>
      <c r="AA1121" s="22"/>
      <c r="AB1121" s="22"/>
      <c r="AC1121" s="22"/>
      <c r="AD1121" s="22"/>
      <c r="AE1121" s="22"/>
    </row>
    <row r="1122">
      <c r="A1122" s="22"/>
      <c r="B1122" s="22" t="str">
        <f>IF(ISBLANK(A1122),"",VLOOKUP(A1122,DOI_URL!$B$1:$C$74,2,FALSE()))</f>
        <v/>
      </c>
      <c r="C1122" s="22"/>
      <c r="D1122" s="22"/>
      <c r="E1122" s="22"/>
      <c r="F1122" s="22"/>
      <c r="G1122" s="22"/>
      <c r="H1122" s="22"/>
      <c r="I1122" s="22"/>
      <c r="J1122" s="22"/>
      <c r="K1122" s="22"/>
      <c r="L1122" s="22"/>
      <c r="M1122" s="22"/>
      <c r="N1122" s="22"/>
      <c r="O1122" s="22"/>
      <c r="P1122" s="22"/>
      <c r="Q1122" s="22"/>
      <c r="R1122" s="22"/>
      <c r="S1122" s="22"/>
      <c r="T1122" s="22"/>
      <c r="U1122" s="22"/>
      <c r="V1122" s="22"/>
      <c r="W1122" s="22"/>
      <c r="X1122" s="22"/>
      <c r="Y1122" s="22"/>
      <c r="Z1122" s="22"/>
      <c r="AA1122" s="22"/>
      <c r="AB1122" s="22"/>
      <c r="AC1122" s="22"/>
      <c r="AD1122" s="22"/>
      <c r="AE1122" s="22"/>
    </row>
    <row r="1123">
      <c r="A1123" s="22"/>
      <c r="B1123" s="22" t="str">
        <f>IF(ISBLANK(A1123),"",VLOOKUP(A1123,DOI_URL!$B$1:$C$74,2,FALSE()))</f>
        <v/>
      </c>
      <c r="C1123" s="22"/>
      <c r="D1123" s="22"/>
      <c r="E1123" s="22"/>
      <c r="F1123" s="22"/>
      <c r="G1123" s="22"/>
      <c r="H1123" s="22"/>
      <c r="I1123" s="22"/>
      <c r="J1123" s="22"/>
      <c r="K1123" s="22"/>
      <c r="L1123" s="22"/>
      <c r="M1123" s="22"/>
      <c r="N1123" s="22"/>
      <c r="O1123" s="22"/>
      <c r="P1123" s="22"/>
      <c r="Q1123" s="22"/>
      <c r="R1123" s="22"/>
      <c r="S1123" s="22"/>
      <c r="T1123" s="22"/>
      <c r="U1123" s="22"/>
      <c r="V1123" s="22"/>
      <c r="W1123" s="22"/>
      <c r="X1123" s="22"/>
      <c r="Y1123" s="22"/>
      <c r="Z1123" s="22"/>
      <c r="AA1123" s="22"/>
      <c r="AB1123" s="22"/>
      <c r="AC1123" s="22"/>
      <c r="AD1123" s="22"/>
      <c r="AE1123" s="22"/>
    </row>
    <row r="1124">
      <c r="A1124" s="22"/>
      <c r="B1124" s="22" t="str">
        <f>IF(ISBLANK(A1124),"",VLOOKUP(A1124,DOI_URL!$B$1:$C$74,2,FALSE()))</f>
        <v/>
      </c>
      <c r="C1124" s="22"/>
      <c r="D1124" s="22"/>
      <c r="E1124" s="22"/>
      <c r="F1124" s="22"/>
      <c r="G1124" s="22"/>
      <c r="H1124" s="22"/>
      <c r="I1124" s="22"/>
      <c r="J1124" s="22"/>
      <c r="K1124" s="22"/>
      <c r="L1124" s="22"/>
      <c r="M1124" s="22"/>
      <c r="N1124" s="22"/>
      <c r="O1124" s="22"/>
      <c r="P1124" s="22"/>
      <c r="Q1124" s="22"/>
      <c r="R1124" s="22"/>
      <c r="S1124" s="22"/>
      <c r="T1124" s="22"/>
      <c r="U1124" s="22"/>
      <c r="V1124" s="22"/>
      <c r="W1124" s="22"/>
      <c r="X1124" s="22"/>
      <c r="Y1124" s="22"/>
      <c r="Z1124" s="22"/>
      <c r="AA1124" s="22"/>
      <c r="AB1124" s="22"/>
      <c r="AC1124" s="22"/>
      <c r="AD1124" s="22"/>
      <c r="AE1124" s="22"/>
    </row>
    <row r="1125">
      <c r="A1125" s="22"/>
      <c r="B1125" s="22" t="str">
        <f>IF(ISBLANK(A1125),"",VLOOKUP(A1125,DOI_URL!$B$1:$C$74,2,FALSE()))</f>
        <v/>
      </c>
      <c r="C1125" s="22"/>
      <c r="D1125" s="22"/>
      <c r="E1125" s="22"/>
      <c r="F1125" s="22"/>
      <c r="G1125" s="22"/>
      <c r="H1125" s="22"/>
      <c r="I1125" s="22"/>
      <c r="J1125" s="22"/>
      <c r="K1125" s="22"/>
      <c r="L1125" s="22"/>
      <c r="M1125" s="22"/>
      <c r="N1125" s="22"/>
      <c r="O1125" s="22"/>
      <c r="P1125" s="22"/>
      <c r="Q1125" s="22"/>
      <c r="R1125" s="22"/>
      <c r="S1125" s="22"/>
      <c r="T1125" s="22"/>
      <c r="U1125" s="22"/>
      <c r="V1125" s="22"/>
      <c r="W1125" s="22"/>
      <c r="X1125" s="22"/>
      <c r="Y1125" s="22"/>
      <c r="Z1125" s="22"/>
      <c r="AA1125" s="22"/>
      <c r="AB1125" s="22"/>
      <c r="AC1125" s="22"/>
      <c r="AD1125" s="22"/>
      <c r="AE1125" s="22"/>
    </row>
    <row r="1126">
      <c r="A1126" s="22"/>
      <c r="B1126" s="22" t="str">
        <f>IF(ISBLANK(A1126),"",VLOOKUP(A1126,DOI_URL!$B$1:$C$74,2,FALSE()))</f>
        <v/>
      </c>
      <c r="C1126" s="22"/>
      <c r="D1126" s="22"/>
      <c r="E1126" s="22"/>
      <c r="F1126" s="22"/>
      <c r="G1126" s="22"/>
      <c r="H1126" s="22"/>
      <c r="I1126" s="22"/>
      <c r="J1126" s="22"/>
      <c r="K1126" s="22"/>
      <c r="L1126" s="22"/>
      <c r="M1126" s="22"/>
      <c r="N1126" s="22"/>
      <c r="O1126" s="22"/>
      <c r="P1126" s="22"/>
      <c r="Q1126" s="22"/>
      <c r="R1126" s="22"/>
      <c r="S1126" s="22"/>
      <c r="T1126" s="22"/>
      <c r="U1126" s="22"/>
      <c r="V1126" s="22"/>
      <c r="W1126" s="22"/>
      <c r="X1126" s="22"/>
      <c r="Y1126" s="22"/>
      <c r="Z1126" s="22"/>
      <c r="AA1126" s="22"/>
      <c r="AB1126" s="22"/>
      <c r="AC1126" s="22"/>
      <c r="AD1126" s="22"/>
      <c r="AE1126" s="22"/>
    </row>
    <row r="1127">
      <c r="A1127" s="22"/>
      <c r="B1127" s="22" t="str">
        <f>IF(ISBLANK(A1127),"",VLOOKUP(A1127,DOI_URL!$B$1:$C$74,2,FALSE()))</f>
        <v/>
      </c>
      <c r="C1127" s="22"/>
      <c r="D1127" s="22"/>
      <c r="E1127" s="22"/>
      <c r="F1127" s="22"/>
      <c r="G1127" s="22"/>
      <c r="H1127" s="22"/>
      <c r="I1127" s="22"/>
      <c r="J1127" s="22"/>
      <c r="K1127" s="22"/>
      <c r="L1127" s="22"/>
      <c r="M1127" s="22"/>
      <c r="N1127" s="22"/>
      <c r="O1127" s="22"/>
      <c r="P1127" s="22"/>
      <c r="Q1127" s="22"/>
      <c r="R1127" s="22"/>
      <c r="S1127" s="22"/>
      <c r="T1127" s="22"/>
      <c r="U1127" s="22"/>
      <c r="V1127" s="22"/>
      <c r="W1127" s="22"/>
      <c r="X1127" s="22"/>
      <c r="Y1127" s="22"/>
      <c r="Z1127" s="22"/>
      <c r="AA1127" s="22"/>
      <c r="AB1127" s="22"/>
      <c r="AC1127" s="22"/>
      <c r="AD1127" s="22"/>
      <c r="AE1127" s="22"/>
    </row>
    <row r="1128">
      <c r="A1128" s="22"/>
      <c r="B1128" s="22" t="str">
        <f>IF(ISBLANK(A1128),"",VLOOKUP(A1128,DOI_URL!$B$1:$C$74,2,FALSE()))</f>
        <v/>
      </c>
      <c r="C1128" s="22"/>
      <c r="D1128" s="22"/>
      <c r="E1128" s="22"/>
      <c r="F1128" s="22"/>
      <c r="G1128" s="22"/>
      <c r="H1128" s="22"/>
      <c r="I1128" s="22"/>
      <c r="J1128" s="22"/>
      <c r="K1128" s="22"/>
      <c r="L1128" s="22"/>
      <c r="M1128" s="22"/>
      <c r="N1128" s="22"/>
      <c r="O1128" s="22"/>
      <c r="P1128" s="22"/>
      <c r="Q1128" s="22"/>
      <c r="R1128" s="22"/>
      <c r="S1128" s="22"/>
      <c r="T1128" s="22"/>
      <c r="U1128" s="22"/>
      <c r="V1128" s="22"/>
      <c r="W1128" s="22"/>
      <c r="X1128" s="22"/>
      <c r="Y1128" s="22"/>
      <c r="Z1128" s="22"/>
      <c r="AA1128" s="22"/>
      <c r="AB1128" s="22"/>
      <c r="AC1128" s="22"/>
      <c r="AD1128" s="22"/>
      <c r="AE1128" s="22"/>
    </row>
    <row r="1129">
      <c r="A1129" s="22"/>
      <c r="B1129" s="22" t="str">
        <f>IF(ISBLANK(A1129),"",VLOOKUP(A1129,DOI_URL!$B$1:$C$74,2,FALSE()))</f>
        <v/>
      </c>
      <c r="C1129" s="22"/>
      <c r="D1129" s="22"/>
      <c r="E1129" s="22"/>
      <c r="F1129" s="22"/>
      <c r="G1129" s="22"/>
      <c r="H1129" s="22"/>
      <c r="I1129" s="22"/>
      <c r="J1129" s="22"/>
      <c r="K1129" s="22"/>
      <c r="L1129" s="22"/>
      <c r="M1129" s="22"/>
      <c r="N1129" s="22"/>
      <c r="O1129" s="22"/>
      <c r="P1129" s="22"/>
      <c r="Q1129" s="22"/>
      <c r="R1129" s="22"/>
      <c r="S1129" s="22"/>
      <c r="T1129" s="22"/>
      <c r="U1129" s="22"/>
      <c r="V1129" s="22"/>
      <c r="W1129" s="22"/>
      <c r="X1129" s="22"/>
      <c r="Y1129" s="22"/>
      <c r="Z1129" s="22"/>
      <c r="AA1129" s="22"/>
      <c r="AB1129" s="22"/>
      <c r="AC1129" s="22"/>
      <c r="AD1129" s="22"/>
      <c r="AE1129" s="22"/>
    </row>
    <row r="1130">
      <c r="A1130" s="22"/>
      <c r="B1130" s="22" t="str">
        <f>IF(ISBLANK(A1130),"",VLOOKUP(A1130,DOI_URL!$B$1:$C$74,2,FALSE()))</f>
        <v/>
      </c>
      <c r="C1130" s="22"/>
      <c r="D1130" s="22"/>
      <c r="E1130" s="22"/>
      <c r="F1130" s="22"/>
      <c r="G1130" s="22"/>
      <c r="H1130" s="22"/>
      <c r="I1130" s="22"/>
      <c r="J1130" s="22"/>
      <c r="K1130" s="22"/>
      <c r="L1130" s="22"/>
      <c r="M1130" s="22"/>
      <c r="N1130" s="22"/>
      <c r="O1130" s="22"/>
      <c r="P1130" s="22"/>
      <c r="Q1130" s="22"/>
      <c r="R1130" s="22"/>
      <c r="S1130" s="22"/>
      <c r="T1130" s="22"/>
      <c r="U1130" s="22"/>
      <c r="V1130" s="22"/>
      <c r="W1130" s="22"/>
      <c r="X1130" s="22"/>
      <c r="Y1130" s="22"/>
      <c r="Z1130" s="22"/>
      <c r="AA1130" s="22"/>
      <c r="AB1130" s="22"/>
      <c r="AC1130" s="22"/>
      <c r="AD1130" s="22"/>
      <c r="AE1130" s="22"/>
    </row>
    <row r="1131">
      <c r="A1131" s="22"/>
      <c r="B1131" s="22" t="str">
        <f>IF(ISBLANK(A1131),"",VLOOKUP(A1131,DOI_URL!$B$1:$C$74,2,FALSE()))</f>
        <v/>
      </c>
      <c r="C1131" s="22"/>
      <c r="D1131" s="22"/>
      <c r="E1131" s="22"/>
      <c r="F1131" s="22"/>
      <c r="G1131" s="22"/>
      <c r="H1131" s="22"/>
      <c r="I1131" s="22"/>
      <c r="J1131" s="22"/>
      <c r="K1131" s="22"/>
      <c r="L1131" s="22"/>
      <c r="M1131" s="22"/>
      <c r="N1131" s="22"/>
      <c r="O1131" s="22"/>
      <c r="P1131" s="22"/>
      <c r="Q1131" s="22"/>
      <c r="R1131" s="22"/>
      <c r="S1131" s="22"/>
      <c r="T1131" s="22"/>
      <c r="U1131" s="22"/>
      <c r="V1131" s="22"/>
      <c r="W1131" s="22"/>
      <c r="X1131" s="22"/>
      <c r="Y1131" s="22"/>
      <c r="Z1131" s="22"/>
      <c r="AA1131" s="22"/>
      <c r="AB1131" s="22"/>
      <c r="AC1131" s="22"/>
      <c r="AD1131" s="22"/>
      <c r="AE1131" s="22"/>
    </row>
    <row r="1132">
      <c r="A1132" s="22"/>
      <c r="B1132" s="22" t="str">
        <f>IF(ISBLANK(A1132),"",VLOOKUP(A1132,DOI_URL!$B$1:$C$74,2,FALSE()))</f>
        <v/>
      </c>
      <c r="C1132" s="22"/>
      <c r="D1132" s="22"/>
      <c r="E1132" s="22"/>
      <c r="F1132" s="22"/>
      <c r="G1132" s="22"/>
      <c r="H1132" s="22"/>
      <c r="I1132" s="22"/>
      <c r="J1132" s="22"/>
      <c r="K1132" s="22"/>
      <c r="L1132" s="22"/>
      <c r="M1132" s="22"/>
      <c r="N1132" s="22"/>
      <c r="O1132" s="22"/>
      <c r="P1132" s="22"/>
      <c r="Q1132" s="22"/>
      <c r="R1132" s="22"/>
      <c r="S1132" s="22"/>
      <c r="T1132" s="22"/>
      <c r="U1132" s="22"/>
      <c r="V1132" s="22"/>
      <c r="W1132" s="22"/>
      <c r="X1132" s="22"/>
      <c r="Y1132" s="22"/>
      <c r="Z1132" s="22"/>
      <c r="AA1132" s="22"/>
      <c r="AB1132" s="22"/>
      <c r="AC1132" s="22"/>
      <c r="AD1132" s="22"/>
      <c r="AE1132" s="22"/>
    </row>
    <row r="1133">
      <c r="A1133" s="22"/>
      <c r="B1133" s="22" t="str">
        <f>IF(ISBLANK(A1133),"",VLOOKUP(A1133,DOI_URL!$B$1:$C$74,2,FALSE()))</f>
        <v/>
      </c>
      <c r="C1133" s="22"/>
      <c r="D1133" s="22"/>
      <c r="E1133" s="22"/>
      <c r="F1133" s="22"/>
      <c r="G1133" s="22"/>
      <c r="H1133" s="22"/>
      <c r="I1133" s="22"/>
      <c r="J1133" s="22"/>
      <c r="K1133" s="22"/>
      <c r="L1133" s="22"/>
      <c r="M1133" s="22"/>
      <c r="N1133" s="22"/>
      <c r="O1133" s="22"/>
      <c r="P1133" s="22"/>
      <c r="Q1133" s="22"/>
      <c r="R1133" s="22"/>
      <c r="S1133" s="22"/>
      <c r="T1133" s="22"/>
      <c r="U1133" s="22"/>
      <c r="V1133" s="22"/>
      <c r="W1133" s="22"/>
      <c r="X1133" s="22"/>
      <c r="Y1133" s="22"/>
      <c r="Z1133" s="22"/>
      <c r="AA1133" s="22"/>
      <c r="AB1133" s="22"/>
      <c r="AC1133" s="22"/>
      <c r="AD1133" s="22"/>
      <c r="AE1133" s="22"/>
    </row>
    <row r="1134">
      <c r="A1134" s="22"/>
      <c r="B1134" s="22" t="str">
        <f>IF(ISBLANK(A1134),"",VLOOKUP(A1134,DOI_URL!$B$1:$C$74,2,FALSE()))</f>
        <v/>
      </c>
      <c r="C1134" s="22"/>
      <c r="D1134" s="22"/>
      <c r="E1134" s="22"/>
      <c r="F1134" s="22"/>
      <c r="G1134" s="22"/>
      <c r="H1134" s="22"/>
      <c r="I1134" s="22"/>
      <c r="J1134" s="22"/>
      <c r="K1134" s="22"/>
      <c r="L1134" s="22"/>
      <c r="M1134" s="22"/>
      <c r="N1134" s="22"/>
      <c r="O1134" s="22"/>
      <c r="P1134" s="22"/>
      <c r="Q1134" s="22"/>
      <c r="R1134" s="22"/>
      <c r="S1134" s="22"/>
      <c r="T1134" s="22"/>
      <c r="U1134" s="22"/>
      <c r="V1134" s="22"/>
      <c r="W1134" s="22"/>
      <c r="X1134" s="22"/>
      <c r="Y1134" s="22"/>
      <c r="Z1134" s="22"/>
      <c r="AA1134" s="22"/>
      <c r="AB1134" s="22"/>
      <c r="AC1134" s="22"/>
      <c r="AD1134" s="22"/>
      <c r="AE1134" s="22"/>
    </row>
    <row r="1135">
      <c r="A1135" s="22"/>
      <c r="B1135" s="22" t="str">
        <f>IF(ISBLANK(A1135),"",VLOOKUP(A1135,DOI_URL!$B$1:$C$74,2,FALSE()))</f>
        <v/>
      </c>
      <c r="C1135" s="22"/>
      <c r="D1135" s="22"/>
      <c r="E1135" s="22"/>
      <c r="F1135" s="22"/>
      <c r="G1135" s="22"/>
      <c r="H1135" s="22"/>
      <c r="I1135" s="22"/>
      <c r="J1135" s="22"/>
      <c r="K1135" s="22"/>
      <c r="L1135" s="22"/>
      <c r="M1135" s="22"/>
      <c r="N1135" s="22"/>
      <c r="O1135" s="22"/>
      <c r="P1135" s="22"/>
      <c r="Q1135" s="22"/>
      <c r="R1135" s="22"/>
      <c r="S1135" s="22"/>
      <c r="T1135" s="22"/>
      <c r="U1135" s="22"/>
      <c r="V1135" s="22"/>
      <c r="W1135" s="22"/>
      <c r="X1135" s="22"/>
      <c r="Y1135" s="22"/>
      <c r="Z1135" s="22"/>
      <c r="AA1135" s="22"/>
      <c r="AB1135" s="22"/>
      <c r="AC1135" s="22"/>
      <c r="AD1135" s="22"/>
      <c r="AE1135" s="22"/>
    </row>
    <row r="1136">
      <c r="A1136" s="22"/>
      <c r="B1136" s="22" t="str">
        <f>IF(ISBLANK(A1136),"",VLOOKUP(A1136,DOI_URL!$B$1:$C$74,2,FALSE()))</f>
        <v/>
      </c>
      <c r="C1136" s="22"/>
      <c r="D1136" s="22"/>
      <c r="E1136" s="22"/>
      <c r="F1136" s="22"/>
      <c r="G1136" s="22"/>
      <c r="H1136" s="22"/>
      <c r="I1136" s="22"/>
      <c r="J1136" s="22"/>
      <c r="K1136" s="22"/>
      <c r="L1136" s="22"/>
      <c r="M1136" s="22"/>
      <c r="N1136" s="22"/>
      <c r="O1136" s="22"/>
      <c r="P1136" s="22"/>
      <c r="Q1136" s="22"/>
      <c r="R1136" s="22"/>
      <c r="S1136" s="22"/>
      <c r="T1136" s="22"/>
      <c r="U1136" s="22"/>
      <c r="V1136" s="22"/>
      <c r="W1136" s="22"/>
      <c r="X1136" s="22"/>
      <c r="Y1136" s="22"/>
      <c r="Z1136" s="22"/>
      <c r="AA1136" s="22"/>
      <c r="AB1136" s="22"/>
      <c r="AC1136" s="22"/>
      <c r="AD1136" s="22"/>
      <c r="AE1136" s="22"/>
    </row>
    <row r="1137">
      <c r="A1137" s="22"/>
      <c r="B1137" s="22" t="str">
        <f>IF(ISBLANK(A1137),"",VLOOKUP(A1137,DOI_URL!$B$1:$C$74,2,FALSE()))</f>
        <v/>
      </c>
      <c r="C1137" s="22"/>
      <c r="D1137" s="22"/>
      <c r="E1137" s="22"/>
      <c r="F1137" s="22"/>
      <c r="G1137" s="22"/>
      <c r="H1137" s="22"/>
      <c r="I1137" s="22"/>
      <c r="J1137" s="22"/>
      <c r="K1137" s="22"/>
      <c r="L1137" s="22"/>
      <c r="M1137" s="22"/>
      <c r="N1137" s="22"/>
      <c r="O1137" s="22"/>
      <c r="P1137" s="22"/>
      <c r="Q1137" s="22"/>
      <c r="R1137" s="22"/>
      <c r="S1137" s="22"/>
      <c r="T1137" s="22"/>
      <c r="U1137" s="22"/>
      <c r="V1137" s="22"/>
      <c r="W1137" s="22"/>
      <c r="X1137" s="22"/>
      <c r="Y1137" s="22"/>
      <c r="Z1137" s="22"/>
      <c r="AA1137" s="22"/>
      <c r="AB1137" s="22"/>
      <c r="AC1137" s="22"/>
      <c r="AD1137" s="22"/>
      <c r="AE1137" s="22"/>
    </row>
    <row r="1138">
      <c r="A1138" s="22"/>
      <c r="B1138" s="22" t="str">
        <f>IF(ISBLANK(A1138),"",VLOOKUP(A1138,DOI_URL!$B$1:$C$74,2,FALSE()))</f>
        <v/>
      </c>
      <c r="C1138" s="22"/>
      <c r="D1138" s="22"/>
      <c r="E1138" s="22"/>
      <c r="F1138" s="22"/>
      <c r="G1138" s="22"/>
      <c r="H1138" s="22"/>
      <c r="I1138" s="22"/>
      <c r="J1138" s="22"/>
      <c r="K1138" s="22"/>
      <c r="L1138" s="22"/>
      <c r="M1138" s="22"/>
      <c r="N1138" s="22"/>
      <c r="O1138" s="22"/>
      <c r="P1138" s="22"/>
      <c r="Q1138" s="22"/>
      <c r="R1138" s="22"/>
      <c r="S1138" s="22"/>
      <c r="T1138" s="22"/>
      <c r="U1138" s="22"/>
      <c r="V1138" s="22"/>
      <c r="W1138" s="22"/>
      <c r="X1138" s="22"/>
      <c r="Y1138" s="22"/>
      <c r="Z1138" s="22"/>
      <c r="AA1138" s="22"/>
      <c r="AB1138" s="22"/>
      <c r="AC1138" s="22"/>
      <c r="AD1138" s="22"/>
      <c r="AE1138" s="22"/>
    </row>
    <row r="1139">
      <c r="A1139" s="22"/>
      <c r="B1139" s="22" t="str">
        <f>IF(ISBLANK(A1139),"",VLOOKUP(A1139,DOI_URL!$B$1:$C$74,2,FALSE()))</f>
        <v/>
      </c>
      <c r="C1139" s="22"/>
      <c r="D1139" s="22"/>
      <c r="E1139" s="22"/>
      <c r="F1139" s="22"/>
      <c r="G1139" s="22"/>
      <c r="H1139" s="22"/>
      <c r="I1139" s="22"/>
      <c r="J1139" s="22"/>
      <c r="K1139" s="22"/>
      <c r="L1139" s="22"/>
      <c r="M1139" s="22"/>
      <c r="N1139" s="22"/>
      <c r="O1139" s="22"/>
      <c r="P1139" s="22"/>
      <c r="Q1139" s="22"/>
      <c r="R1139" s="22"/>
      <c r="S1139" s="22"/>
      <c r="T1139" s="22"/>
      <c r="U1139" s="22"/>
      <c r="V1139" s="22"/>
      <c r="W1139" s="22"/>
      <c r="X1139" s="22"/>
      <c r="Y1139" s="22"/>
      <c r="Z1139" s="22"/>
      <c r="AA1139" s="22"/>
      <c r="AB1139" s="22"/>
      <c r="AC1139" s="22"/>
      <c r="AD1139" s="22"/>
      <c r="AE1139" s="22"/>
    </row>
    <row r="1140">
      <c r="A1140" s="22"/>
      <c r="B1140" s="22" t="str">
        <f>IF(ISBLANK(A1140),"",VLOOKUP(A1140,DOI_URL!$B$1:$C$74,2,FALSE()))</f>
        <v/>
      </c>
      <c r="C1140" s="22"/>
      <c r="D1140" s="22"/>
      <c r="E1140" s="22"/>
      <c r="F1140" s="22"/>
      <c r="G1140" s="22"/>
      <c r="H1140" s="22"/>
      <c r="I1140" s="22"/>
      <c r="J1140" s="22"/>
      <c r="K1140" s="22"/>
      <c r="L1140" s="22"/>
      <c r="M1140" s="22"/>
      <c r="N1140" s="22"/>
      <c r="O1140" s="22"/>
      <c r="P1140" s="22"/>
      <c r="Q1140" s="22"/>
      <c r="R1140" s="22"/>
      <c r="S1140" s="22"/>
      <c r="T1140" s="22"/>
      <c r="U1140" s="22"/>
      <c r="V1140" s="22"/>
      <c r="W1140" s="22"/>
      <c r="X1140" s="22"/>
      <c r="Y1140" s="22"/>
      <c r="Z1140" s="22"/>
      <c r="AA1140" s="22"/>
      <c r="AB1140" s="22"/>
      <c r="AC1140" s="22"/>
      <c r="AD1140" s="22"/>
      <c r="AE1140" s="22"/>
    </row>
    <row r="1141">
      <c r="A1141" s="22"/>
      <c r="B1141" s="22" t="str">
        <f>IF(ISBLANK(A1141),"",VLOOKUP(A1141,DOI_URL!$B$1:$C$74,2,FALSE()))</f>
        <v/>
      </c>
      <c r="C1141" s="22"/>
      <c r="D1141" s="22"/>
      <c r="E1141" s="22"/>
      <c r="F1141" s="22"/>
      <c r="G1141" s="22"/>
      <c r="H1141" s="22"/>
      <c r="I1141" s="22"/>
      <c r="J1141" s="22"/>
      <c r="K1141" s="22"/>
      <c r="L1141" s="22"/>
      <c r="M1141" s="22"/>
      <c r="N1141" s="22"/>
      <c r="O1141" s="22"/>
      <c r="P1141" s="22"/>
      <c r="Q1141" s="22"/>
      <c r="R1141" s="22"/>
      <c r="S1141" s="22"/>
      <c r="T1141" s="22"/>
      <c r="U1141" s="22"/>
      <c r="V1141" s="22"/>
      <c r="W1141" s="22"/>
      <c r="X1141" s="22"/>
      <c r="Y1141" s="22"/>
      <c r="Z1141" s="22"/>
      <c r="AA1141" s="22"/>
      <c r="AB1141" s="22"/>
      <c r="AC1141" s="22"/>
      <c r="AD1141" s="22"/>
      <c r="AE1141" s="22"/>
    </row>
    <row r="1142">
      <c r="A1142" s="22"/>
      <c r="B1142" s="22" t="str">
        <f>IF(ISBLANK(A1142),"",VLOOKUP(A1142,DOI_URL!$B$1:$C$74,2,FALSE()))</f>
        <v/>
      </c>
      <c r="C1142" s="22"/>
      <c r="D1142" s="22"/>
      <c r="E1142" s="22"/>
      <c r="F1142" s="22"/>
      <c r="G1142" s="22"/>
      <c r="H1142" s="22"/>
      <c r="I1142" s="22"/>
      <c r="J1142" s="22"/>
      <c r="K1142" s="22"/>
      <c r="L1142" s="22"/>
      <c r="M1142" s="22"/>
      <c r="N1142" s="22"/>
      <c r="O1142" s="22"/>
      <c r="P1142" s="22"/>
      <c r="Q1142" s="22"/>
      <c r="R1142" s="22"/>
      <c r="S1142" s="22"/>
      <c r="T1142" s="22"/>
      <c r="U1142" s="22"/>
      <c r="V1142" s="22"/>
      <c r="W1142" s="22"/>
      <c r="X1142" s="22"/>
      <c r="Y1142" s="22"/>
      <c r="Z1142" s="22"/>
      <c r="AA1142" s="22"/>
      <c r="AB1142" s="22"/>
      <c r="AC1142" s="22"/>
      <c r="AD1142" s="22"/>
      <c r="AE1142" s="22"/>
    </row>
    <row r="1143">
      <c r="A1143" s="22"/>
      <c r="B1143" s="22" t="str">
        <f>IF(ISBLANK(A1143),"",VLOOKUP(A1143,DOI_URL!$B$1:$C$74,2,FALSE()))</f>
        <v/>
      </c>
      <c r="C1143" s="22"/>
      <c r="D1143" s="22"/>
      <c r="E1143" s="22"/>
      <c r="F1143" s="22"/>
      <c r="G1143" s="22"/>
      <c r="H1143" s="22"/>
      <c r="I1143" s="22"/>
      <c r="J1143" s="22"/>
      <c r="K1143" s="22"/>
      <c r="L1143" s="22"/>
      <c r="M1143" s="22"/>
      <c r="N1143" s="22"/>
      <c r="O1143" s="22"/>
      <c r="P1143" s="22"/>
      <c r="Q1143" s="22"/>
      <c r="R1143" s="22"/>
      <c r="S1143" s="22"/>
      <c r="T1143" s="22"/>
      <c r="U1143" s="22"/>
      <c r="V1143" s="22"/>
      <c r="W1143" s="22"/>
      <c r="X1143" s="22"/>
      <c r="Y1143" s="22"/>
      <c r="Z1143" s="22"/>
      <c r="AA1143" s="22"/>
      <c r="AB1143" s="22"/>
      <c r="AC1143" s="22"/>
      <c r="AD1143" s="22"/>
      <c r="AE1143" s="22"/>
    </row>
    <row r="1144">
      <c r="A1144" s="22"/>
      <c r="B1144" s="22" t="str">
        <f>IF(ISBLANK(A1144),"",VLOOKUP(A1144,DOI_URL!$B$1:$C$74,2,FALSE()))</f>
        <v/>
      </c>
      <c r="C1144" s="22"/>
      <c r="D1144" s="22"/>
      <c r="E1144" s="22"/>
      <c r="F1144" s="22"/>
      <c r="G1144" s="22"/>
      <c r="H1144" s="22"/>
      <c r="I1144" s="22"/>
      <c r="J1144" s="22"/>
      <c r="K1144" s="22"/>
      <c r="L1144" s="22"/>
      <c r="M1144" s="22"/>
      <c r="N1144" s="22"/>
      <c r="O1144" s="22"/>
      <c r="P1144" s="22"/>
      <c r="Q1144" s="22"/>
      <c r="R1144" s="22"/>
      <c r="S1144" s="22"/>
      <c r="T1144" s="22"/>
      <c r="U1144" s="22"/>
      <c r="V1144" s="22"/>
      <c r="W1144" s="22"/>
      <c r="X1144" s="22"/>
      <c r="Y1144" s="22"/>
      <c r="Z1144" s="22"/>
      <c r="AA1144" s="22"/>
      <c r="AB1144" s="22"/>
      <c r="AC1144" s="22"/>
      <c r="AD1144" s="22"/>
      <c r="AE1144" s="22"/>
    </row>
    <row r="1145">
      <c r="A1145" s="22"/>
      <c r="B1145" s="22" t="str">
        <f>IF(ISBLANK(A1145),"",VLOOKUP(A1145,DOI_URL!$B$1:$C$74,2,FALSE()))</f>
        <v/>
      </c>
      <c r="C1145" s="22"/>
      <c r="D1145" s="22"/>
      <c r="E1145" s="22"/>
      <c r="F1145" s="22"/>
      <c r="G1145" s="22"/>
      <c r="H1145" s="22"/>
      <c r="I1145" s="22"/>
      <c r="J1145" s="22"/>
      <c r="K1145" s="22"/>
      <c r="L1145" s="22"/>
      <c r="M1145" s="22"/>
      <c r="N1145" s="22"/>
      <c r="O1145" s="22"/>
      <c r="P1145" s="22"/>
      <c r="Q1145" s="22"/>
      <c r="R1145" s="22"/>
      <c r="S1145" s="22"/>
      <c r="T1145" s="22"/>
      <c r="U1145" s="22"/>
      <c r="V1145" s="22"/>
      <c r="W1145" s="22"/>
      <c r="X1145" s="22"/>
      <c r="Y1145" s="22"/>
      <c r="Z1145" s="22"/>
      <c r="AA1145" s="22"/>
      <c r="AB1145" s="22"/>
      <c r="AC1145" s="22"/>
      <c r="AD1145" s="22"/>
      <c r="AE1145" s="22"/>
    </row>
    <row r="1146">
      <c r="A1146" s="22"/>
      <c r="B1146" s="22" t="str">
        <f>IF(ISBLANK(A1146),"",VLOOKUP(A1146,DOI_URL!$B$1:$C$74,2,FALSE()))</f>
        <v/>
      </c>
      <c r="C1146" s="22"/>
      <c r="D1146" s="22"/>
      <c r="E1146" s="22"/>
      <c r="F1146" s="22"/>
      <c r="G1146" s="22"/>
      <c r="H1146" s="22"/>
      <c r="I1146" s="22"/>
      <c r="J1146" s="22"/>
      <c r="K1146" s="22"/>
      <c r="L1146" s="22"/>
      <c r="M1146" s="22"/>
      <c r="N1146" s="22"/>
      <c r="O1146" s="22"/>
      <c r="P1146" s="22"/>
      <c r="Q1146" s="22"/>
      <c r="R1146" s="22"/>
      <c r="S1146" s="22"/>
      <c r="T1146" s="22"/>
      <c r="U1146" s="22"/>
      <c r="V1146" s="22"/>
      <c r="W1146" s="22"/>
      <c r="X1146" s="22"/>
      <c r="Y1146" s="22"/>
      <c r="Z1146" s="22"/>
      <c r="AA1146" s="22"/>
      <c r="AB1146" s="22"/>
      <c r="AC1146" s="22"/>
      <c r="AD1146" s="22"/>
      <c r="AE1146" s="22"/>
    </row>
    <row r="1147">
      <c r="A1147" s="22"/>
      <c r="B1147" s="22" t="str">
        <f>IF(ISBLANK(A1147),"",VLOOKUP(A1147,DOI_URL!$B$1:$C$74,2,FALSE()))</f>
        <v/>
      </c>
      <c r="C1147" s="22"/>
      <c r="D1147" s="22"/>
      <c r="E1147" s="22"/>
      <c r="F1147" s="22"/>
      <c r="G1147" s="22"/>
      <c r="H1147" s="22"/>
      <c r="I1147" s="22"/>
      <c r="J1147" s="22"/>
      <c r="K1147" s="22"/>
      <c r="L1147" s="22"/>
      <c r="M1147" s="22"/>
      <c r="N1147" s="22"/>
      <c r="O1147" s="22"/>
      <c r="P1147" s="22"/>
      <c r="Q1147" s="22"/>
      <c r="R1147" s="22"/>
      <c r="S1147" s="22"/>
      <c r="T1147" s="22"/>
      <c r="U1147" s="22"/>
      <c r="V1147" s="22"/>
      <c r="W1147" s="22"/>
      <c r="X1147" s="22"/>
      <c r="Y1147" s="22"/>
      <c r="Z1147" s="22"/>
      <c r="AA1147" s="22"/>
      <c r="AB1147" s="22"/>
      <c r="AC1147" s="22"/>
      <c r="AD1147" s="22"/>
      <c r="AE1147" s="22"/>
    </row>
    <row r="1148">
      <c r="A1148" s="22"/>
      <c r="B1148" s="22" t="str">
        <f>IF(ISBLANK(A1148),"",VLOOKUP(A1148,DOI_URL!$B$1:$C$74,2,FALSE()))</f>
        <v/>
      </c>
      <c r="C1148" s="22"/>
      <c r="D1148" s="22"/>
      <c r="E1148" s="22"/>
      <c r="F1148" s="22"/>
      <c r="G1148" s="22"/>
      <c r="H1148" s="22"/>
      <c r="I1148" s="22"/>
      <c r="J1148" s="22"/>
      <c r="K1148" s="22"/>
      <c r="L1148" s="22"/>
      <c r="M1148" s="22"/>
      <c r="N1148" s="22"/>
      <c r="O1148" s="22"/>
      <c r="P1148" s="22"/>
      <c r="Q1148" s="22"/>
      <c r="R1148" s="22"/>
      <c r="S1148" s="22"/>
      <c r="T1148" s="22"/>
      <c r="U1148" s="22"/>
      <c r="V1148" s="22"/>
      <c r="W1148" s="22"/>
      <c r="X1148" s="22"/>
      <c r="Y1148" s="22"/>
      <c r="Z1148" s="22"/>
      <c r="AA1148" s="22"/>
      <c r="AB1148" s="22"/>
      <c r="AC1148" s="22"/>
      <c r="AD1148" s="22"/>
      <c r="AE1148" s="22"/>
    </row>
    <row r="1149">
      <c r="A1149" s="22"/>
      <c r="B1149" s="22" t="str">
        <f>IF(ISBLANK(A1149),"",VLOOKUP(A1149,DOI_URL!$B$1:$C$74,2,FALSE()))</f>
        <v/>
      </c>
      <c r="C1149" s="22"/>
      <c r="D1149" s="22"/>
      <c r="E1149" s="22"/>
      <c r="F1149" s="22"/>
      <c r="G1149" s="22"/>
      <c r="H1149" s="22"/>
      <c r="I1149" s="22"/>
      <c r="J1149" s="22"/>
      <c r="K1149" s="22"/>
      <c r="L1149" s="22"/>
      <c r="M1149" s="22"/>
      <c r="N1149" s="22"/>
      <c r="O1149" s="22"/>
      <c r="P1149" s="22"/>
      <c r="Q1149" s="22"/>
      <c r="R1149" s="22"/>
      <c r="S1149" s="22"/>
      <c r="T1149" s="22"/>
      <c r="U1149" s="22"/>
      <c r="V1149" s="22"/>
      <c r="W1149" s="22"/>
      <c r="X1149" s="22"/>
      <c r="Y1149" s="22"/>
      <c r="Z1149" s="22"/>
      <c r="AA1149" s="22"/>
      <c r="AB1149" s="22"/>
      <c r="AC1149" s="22"/>
      <c r="AD1149" s="22"/>
      <c r="AE1149" s="22"/>
    </row>
    <row r="1150">
      <c r="A1150" s="22"/>
      <c r="B1150" s="22" t="str">
        <f>IF(ISBLANK(A1150),"",VLOOKUP(A1150,DOI_URL!$B$1:$C$74,2,FALSE()))</f>
        <v/>
      </c>
      <c r="C1150" s="22"/>
      <c r="D1150" s="22"/>
      <c r="E1150" s="22"/>
      <c r="F1150" s="22"/>
      <c r="G1150" s="22"/>
      <c r="H1150" s="22"/>
      <c r="I1150" s="22"/>
      <c r="J1150" s="22"/>
      <c r="K1150" s="22"/>
      <c r="L1150" s="22"/>
      <c r="M1150" s="22"/>
      <c r="N1150" s="22"/>
      <c r="O1150" s="22"/>
      <c r="P1150" s="22"/>
      <c r="Q1150" s="22"/>
      <c r="R1150" s="22"/>
      <c r="S1150" s="22"/>
      <c r="T1150" s="22"/>
      <c r="U1150" s="22"/>
      <c r="V1150" s="22"/>
      <c r="W1150" s="22"/>
      <c r="X1150" s="22"/>
      <c r="Y1150" s="22"/>
      <c r="Z1150" s="22"/>
      <c r="AA1150" s="22"/>
      <c r="AB1150" s="22"/>
      <c r="AC1150" s="22"/>
      <c r="AD1150" s="22"/>
      <c r="AE1150" s="22"/>
    </row>
    <row r="1151">
      <c r="A1151" s="22"/>
      <c r="B1151" s="22" t="str">
        <f>IF(ISBLANK(A1151),"",VLOOKUP(A1151,DOI_URL!$B$1:$C$74,2,FALSE()))</f>
        <v/>
      </c>
      <c r="C1151" s="22"/>
      <c r="D1151" s="22"/>
      <c r="E1151" s="22"/>
      <c r="F1151" s="22"/>
      <c r="G1151" s="22"/>
      <c r="H1151" s="22"/>
      <c r="I1151" s="22"/>
      <c r="J1151" s="22"/>
      <c r="K1151" s="22"/>
      <c r="L1151" s="22"/>
      <c r="M1151" s="22"/>
      <c r="N1151" s="22"/>
      <c r="O1151" s="22"/>
      <c r="P1151" s="22"/>
      <c r="Q1151" s="22"/>
      <c r="R1151" s="22"/>
      <c r="S1151" s="22"/>
      <c r="T1151" s="22"/>
      <c r="U1151" s="22"/>
      <c r="V1151" s="22"/>
      <c r="W1151" s="22"/>
      <c r="X1151" s="22"/>
      <c r="Y1151" s="22"/>
      <c r="Z1151" s="22"/>
      <c r="AA1151" s="22"/>
      <c r="AB1151" s="22"/>
      <c r="AC1151" s="22"/>
      <c r="AD1151" s="22"/>
      <c r="AE1151" s="22"/>
    </row>
    <row r="1152">
      <c r="A1152" s="22"/>
      <c r="B1152" s="22" t="str">
        <f>IF(ISBLANK(A1152),"",VLOOKUP(A1152,DOI_URL!$B$1:$C$74,2,FALSE()))</f>
        <v/>
      </c>
      <c r="C1152" s="22"/>
      <c r="D1152" s="22"/>
      <c r="E1152" s="22"/>
      <c r="F1152" s="22"/>
      <c r="G1152" s="22"/>
      <c r="H1152" s="22"/>
      <c r="I1152" s="22"/>
      <c r="J1152" s="22"/>
      <c r="K1152" s="22"/>
      <c r="L1152" s="22"/>
      <c r="M1152" s="22"/>
      <c r="N1152" s="22"/>
      <c r="O1152" s="22"/>
      <c r="P1152" s="22"/>
      <c r="Q1152" s="22"/>
      <c r="R1152" s="22"/>
      <c r="S1152" s="22"/>
      <c r="T1152" s="22"/>
      <c r="U1152" s="22"/>
      <c r="V1152" s="22"/>
      <c r="W1152" s="22"/>
      <c r="X1152" s="22"/>
      <c r="Y1152" s="22"/>
      <c r="Z1152" s="22"/>
      <c r="AA1152" s="22"/>
      <c r="AB1152" s="22"/>
      <c r="AC1152" s="22"/>
      <c r="AD1152" s="22"/>
      <c r="AE1152" s="22"/>
    </row>
    <row r="1153">
      <c r="A1153" s="22"/>
      <c r="B1153" s="22" t="str">
        <f>IF(ISBLANK(A1153),"",VLOOKUP(A1153,DOI_URL!$B$1:$C$74,2,FALSE()))</f>
        <v/>
      </c>
      <c r="C1153" s="22"/>
      <c r="D1153" s="22"/>
      <c r="E1153" s="22"/>
      <c r="F1153" s="22"/>
      <c r="G1153" s="22"/>
      <c r="H1153" s="22"/>
      <c r="I1153" s="22"/>
      <c r="J1153" s="22"/>
      <c r="K1153" s="22"/>
      <c r="L1153" s="22"/>
      <c r="M1153" s="22"/>
      <c r="N1153" s="22"/>
      <c r="O1153" s="22"/>
      <c r="P1153" s="22"/>
      <c r="Q1153" s="22"/>
      <c r="R1153" s="22"/>
      <c r="S1153" s="22"/>
      <c r="T1153" s="22"/>
      <c r="U1153" s="22"/>
      <c r="V1153" s="22"/>
      <c r="W1153" s="22"/>
      <c r="X1153" s="22"/>
      <c r="Y1153" s="22"/>
      <c r="Z1153" s="22"/>
      <c r="AA1153" s="22"/>
      <c r="AB1153" s="22"/>
      <c r="AC1153" s="22"/>
      <c r="AD1153" s="22"/>
      <c r="AE1153" s="22"/>
    </row>
    <row r="1154">
      <c r="A1154" s="22"/>
      <c r="B1154" s="22" t="str">
        <f>IF(ISBLANK(A1154),"",VLOOKUP(A1154,DOI_URL!$B$1:$C$74,2,FALSE()))</f>
        <v/>
      </c>
      <c r="C1154" s="22"/>
      <c r="D1154" s="22"/>
      <c r="E1154" s="22"/>
      <c r="F1154" s="22"/>
      <c r="G1154" s="22"/>
      <c r="H1154" s="22"/>
      <c r="I1154" s="22"/>
      <c r="J1154" s="22"/>
      <c r="K1154" s="22"/>
      <c r="L1154" s="22"/>
      <c r="M1154" s="22"/>
      <c r="N1154" s="22"/>
      <c r="O1154" s="22"/>
      <c r="P1154" s="22"/>
      <c r="Q1154" s="22"/>
      <c r="R1154" s="22"/>
      <c r="S1154" s="22"/>
      <c r="T1154" s="22"/>
      <c r="U1154" s="22"/>
      <c r="V1154" s="22"/>
      <c r="W1154" s="22"/>
      <c r="X1154" s="22"/>
      <c r="Y1154" s="22"/>
      <c r="Z1154" s="22"/>
      <c r="AA1154" s="22"/>
      <c r="AB1154" s="22"/>
      <c r="AC1154" s="22"/>
      <c r="AD1154" s="22"/>
      <c r="AE1154" s="22"/>
    </row>
    <row r="1155">
      <c r="A1155" s="22"/>
      <c r="B1155" s="22" t="str">
        <f>IF(ISBLANK(A1155),"",VLOOKUP(A1155,DOI_URL!$B$1:$C$74,2,FALSE()))</f>
        <v/>
      </c>
      <c r="C1155" s="22"/>
      <c r="D1155" s="22"/>
      <c r="E1155" s="22"/>
      <c r="F1155" s="22"/>
      <c r="G1155" s="22"/>
      <c r="H1155" s="22"/>
      <c r="I1155" s="22"/>
      <c r="J1155" s="22"/>
      <c r="K1155" s="22"/>
      <c r="L1155" s="22"/>
      <c r="M1155" s="22"/>
      <c r="N1155" s="22"/>
      <c r="O1155" s="22"/>
      <c r="P1155" s="22"/>
      <c r="Q1155" s="22"/>
      <c r="R1155" s="22"/>
      <c r="S1155" s="22"/>
      <c r="T1155" s="22"/>
      <c r="U1155" s="22"/>
      <c r="V1155" s="22"/>
      <c r="W1155" s="22"/>
      <c r="X1155" s="22"/>
      <c r="Y1155" s="22"/>
      <c r="Z1155" s="22"/>
      <c r="AA1155" s="22"/>
      <c r="AB1155" s="22"/>
      <c r="AC1155" s="22"/>
      <c r="AD1155" s="22"/>
      <c r="AE1155" s="22"/>
    </row>
    <row r="1156">
      <c r="A1156" s="22"/>
      <c r="B1156" s="22" t="str">
        <f>IF(ISBLANK(A1156),"",VLOOKUP(A1156,DOI_URL!$B$1:$C$74,2,FALSE()))</f>
        <v/>
      </c>
      <c r="C1156" s="22"/>
      <c r="D1156" s="22"/>
      <c r="E1156" s="22"/>
      <c r="F1156" s="22"/>
      <c r="G1156" s="22"/>
      <c r="H1156" s="22"/>
      <c r="I1156" s="22"/>
      <c r="J1156" s="22"/>
      <c r="K1156" s="22"/>
      <c r="L1156" s="22"/>
      <c r="M1156" s="22"/>
      <c r="N1156" s="22"/>
      <c r="O1156" s="22"/>
      <c r="P1156" s="22"/>
      <c r="Q1156" s="22"/>
      <c r="R1156" s="22"/>
      <c r="S1156" s="22"/>
      <c r="T1156" s="22"/>
      <c r="U1156" s="22"/>
      <c r="V1156" s="22"/>
      <c r="W1156" s="22"/>
      <c r="X1156" s="22"/>
      <c r="Y1156" s="22"/>
      <c r="Z1156" s="22"/>
      <c r="AA1156" s="22"/>
      <c r="AB1156" s="22"/>
      <c r="AC1156" s="22"/>
      <c r="AD1156" s="22"/>
      <c r="AE1156" s="22"/>
    </row>
    <row r="1157">
      <c r="A1157" s="22"/>
      <c r="B1157" s="22" t="str">
        <f>IF(ISBLANK(A1157),"",VLOOKUP(A1157,DOI_URL!$B$1:$C$74,2,FALSE()))</f>
        <v/>
      </c>
      <c r="C1157" s="22"/>
      <c r="D1157" s="22"/>
      <c r="E1157" s="22"/>
      <c r="F1157" s="22"/>
      <c r="G1157" s="22"/>
      <c r="H1157" s="22"/>
      <c r="I1157" s="22"/>
      <c r="J1157" s="22"/>
      <c r="K1157" s="22"/>
      <c r="L1157" s="22"/>
      <c r="M1157" s="22"/>
      <c r="N1157" s="22"/>
      <c r="O1157" s="22"/>
      <c r="P1157" s="22"/>
      <c r="Q1157" s="22"/>
      <c r="R1157" s="22"/>
      <c r="S1157" s="22"/>
      <c r="T1157" s="22"/>
      <c r="U1157" s="22"/>
      <c r="V1157" s="22"/>
      <c r="W1157" s="22"/>
      <c r="X1157" s="22"/>
      <c r="Y1157" s="22"/>
      <c r="Z1157" s="22"/>
      <c r="AA1157" s="22"/>
      <c r="AB1157" s="22"/>
      <c r="AC1157" s="22"/>
      <c r="AD1157" s="22"/>
      <c r="AE1157" s="22"/>
    </row>
    <row r="1158">
      <c r="A1158" s="22"/>
      <c r="B1158" s="22" t="str">
        <f>IF(ISBLANK(A1158),"",VLOOKUP(A1158,DOI_URL!$B$1:$C$74,2,FALSE()))</f>
        <v/>
      </c>
      <c r="C1158" s="22"/>
      <c r="D1158" s="22"/>
      <c r="E1158" s="22"/>
      <c r="F1158" s="22"/>
      <c r="G1158" s="22"/>
      <c r="H1158" s="22"/>
      <c r="I1158" s="22"/>
      <c r="J1158" s="22"/>
      <c r="K1158" s="22"/>
      <c r="L1158" s="22"/>
      <c r="M1158" s="22"/>
      <c r="N1158" s="22"/>
      <c r="O1158" s="22"/>
      <c r="P1158" s="22"/>
      <c r="Q1158" s="22"/>
      <c r="R1158" s="22"/>
      <c r="S1158" s="22"/>
      <c r="T1158" s="22"/>
      <c r="U1158" s="22"/>
      <c r="V1158" s="22"/>
      <c r="W1158" s="22"/>
      <c r="X1158" s="22"/>
      <c r="Y1158" s="22"/>
      <c r="Z1158" s="22"/>
      <c r="AA1158" s="22"/>
      <c r="AB1158" s="22"/>
      <c r="AC1158" s="22"/>
      <c r="AD1158" s="22"/>
      <c r="AE1158" s="22"/>
    </row>
    <row r="1159">
      <c r="A1159" s="22"/>
      <c r="B1159" s="22" t="str">
        <f>IF(ISBLANK(A1159),"",VLOOKUP(A1159,DOI_URL!$B$1:$C$74,2,FALSE()))</f>
        <v/>
      </c>
      <c r="C1159" s="22"/>
      <c r="D1159" s="22"/>
      <c r="E1159" s="22"/>
      <c r="F1159" s="22"/>
      <c r="G1159" s="22"/>
      <c r="H1159" s="22"/>
      <c r="I1159" s="22"/>
      <c r="J1159" s="22"/>
      <c r="K1159" s="22"/>
      <c r="L1159" s="22"/>
      <c r="M1159" s="22"/>
      <c r="N1159" s="22"/>
      <c r="O1159" s="22"/>
      <c r="P1159" s="22"/>
      <c r="Q1159" s="22"/>
      <c r="R1159" s="22"/>
      <c r="S1159" s="22"/>
      <c r="T1159" s="22"/>
      <c r="U1159" s="22"/>
      <c r="V1159" s="22"/>
      <c r="W1159" s="22"/>
      <c r="X1159" s="22"/>
      <c r="Y1159" s="22"/>
      <c r="Z1159" s="22"/>
      <c r="AA1159" s="22"/>
      <c r="AB1159" s="22"/>
      <c r="AC1159" s="22"/>
      <c r="AD1159" s="22"/>
      <c r="AE1159" s="22"/>
    </row>
    <row r="1160">
      <c r="A1160" s="22"/>
      <c r="B1160" s="22" t="str">
        <f>IF(ISBLANK(A1160),"",VLOOKUP(A1160,DOI_URL!$B$1:$C$74,2,FALSE()))</f>
        <v/>
      </c>
      <c r="C1160" s="22"/>
      <c r="D1160" s="22"/>
      <c r="E1160" s="22"/>
      <c r="F1160" s="22"/>
      <c r="G1160" s="22"/>
      <c r="H1160" s="22"/>
      <c r="I1160" s="22"/>
      <c r="J1160" s="22"/>
      <c r="K1160" s="22"/>
      <c r="L1160" s="22"/>
      <c r="M1160" s="22"/>
      <c r="N1160" s="22"/>
      <c r="O1160" s="22"/>
      <c r="P1160" s="22"/>
      <c r="Q1160" s="22"/>
      <c r="R1160" s="22"/>
      <c r="S1160" s="22"/>
      <c r="T1160" s="22"/>
      <c r="U1160" s="22"/>
      <c r="V1160" s="22"/>
      <c r="W1160" s="22"/>
      <c r="X1160" s="22"/>
      <c r="Y1160" s="22"/>
      <c r="Z1160" s="22"/>
      <c r="AA1160" s="22"/>
      <c r="AB1160" s="22"/>
      <c r="AC1160" s="22"/>
      <c r="AD1160" s="22"/>
      <c r="AE1160" s="22"/>
    </row>
    <row r="1161">
      <c r="A1161" s="22"/>
      <c r="B1161" s="22" t="str">
        <f>IF(ISBLANK(A1161),"",VLOOKUP(A1161,DOI_URL!$B$1:$C$74,2,FALSE()))</f>
        <v/>
      </c>
      <c r="C1161" s="22"/>
      <c r="D1161" s="22"/>
      <c r="E1161" s="22"/>
      <c r="F1161" s="22"/>
      <c r="G1161" s="22"/>
      <c r="H1161" s="22"/>
      <c r="I1161" s="22"/>
      <c r="J1161" s="22"/>
      <c r="K1161" s="22"/>
      <c r="L1161" s="22"/>
      <c r="M1161" s="22"/>
      <c r="N1161" s="22"/>
      <c r="O1161" s="22"/>
      <c r="P1161" s="22"/>
      <c r="Q1161" s="22"/>
      <c r="R1161" s="22"/>
      <c r="S1161" s="22"/>
      <c r="T1161" s="22"/>
      <c r="U1161" s="22"/>
      <c r="V1161" s="22"/>
      <c r="W1161" s="22"/>
      <c r="X1161" s="22"/>
      <c r="Y1161" s="22"/>
      <c r="Z1161" s="22"/>
      <c r="AA1161" s="22"/>
      <c r="AB1161" s="22"/>
      <c r="AC1161" s="22"/>
      <c r="AD1161" s="22"/>
      <c r="AE1161" s="22"/>
    </row>
    <row r="1162">
      <c r="A1162" s="22"/>
      <c r="B1162" s="22" t="str">
        <f>IF(ISBLANK(A1162),"",VLOOKUP(A1162,DOI_URL!$B$1:$C$74,2,FALSE()))</f>
        <v/>
      </c>
      <c r="C1162" s="22"/>
      <c r="D1162" s="22"/>
      <c r="E1162" s="22"/>
      <c r="F1162" s="22"/>
      <c r="G1162" s="22"/>
      <c r="H1162" s="22"/>
      <c r="I1162" s="22"/>
      <c r="J1162" s="22"/>
      <c r="K1162" s="22"/>
      <c r="L1162" s="22"/>
      <c r="M1162" s="22"/>
      <c r="N1162" s="22"/>
      <c r="O1162" s="22"/>
      <c r="P1162" s="22"/>
      <c r="Q1162" s="22"/>
      <c r="R1162" s="22"/>
      <c r="S1162" s="22"/>
      <c r="T1162" s="22"/>
      <c r="U1162" s="22"/>
      <c r="V1162" s="22"/>
      <c r="W1162" s="22"/>
      <c r="X1162" s="22"/>
      <c r="Y1162" s="22"/>
      <c r="Z1162" s="22"/>
      <c r="AA1162" s="22"/>
      <c r="AB1162" s="22"/>
      <c r="AC1162" s="22"/>
      <c r="AD1162" s="22"/>
      <c r="AE1162" s="22"/>
    </row>
    <row r="1163">
      <c r="A1163" s="22"/>
      <c r="B1163" s="22" t="str">
        <f>IF(ISBLANK(A1163),"",VLOOKUP(A1163,DOI_URL!$B$1:$C$74,2,FALSE()))</f>
        <v/>
      </c>
      <c r="C1163" s="22"/>
      <c r="D1163" s="22"/>
      <c r="E1163" s="22"/>
      <c r="F1163" s="22"/>
      <c r="G1163" s="22"/>
      <c r="H1163" s="22"/>
      <c r="I1163" s="22"/>
      <c r="J1163" s="22"/>
      <c r="K1163" s="22"/>
      <c r="L1163" s="22"/>
      <c r="M1163" s="22"/>
      <c r="N1163" s="22"/>
      <c r="O1163" s="22"/>
      <c r="P1163" s="22"/>
      <c r="Q1163" s="22"/>
      <c r="R1163" s="22"/>
      <c r="S1163" s="22"/>
      <c r="T1163" s="22"/>
      <c r="U1163" s="22"/>
      <c r="V1163" s="22"/>
      <c r="W1163" s="22"/>
      <c r="X1163" s="22"/>
      <c r="Y1163" s="22"/>
      <c r="Z1163" s="22"/>
      <c r="AA1163" s="22"/>
      <c r="AB1163" s="22"/>
      <c r="AC1163" s="22"/>
      <c r="AD1163" s="22"/>
      <c r="AE1163" s="22"/>
    </row>
    <row r="1164">
      <c r="A1164" s="22"/>
      <c r="B1164" s="22" t="str">
        <f>IF(ISBLANK(A1164),"",VLOOKUP(A1164,DOI_URL!$B$1:$C$74,2,FALSE()))</f>
        <v/>
      </c>
      <c r="C1164" s="22"/>
      <c r="D1164" s="22"/>
      <c r="E1164" s="22"/>
      <c r="F1164" s="22"/>
      <c r="G1164" s="22"/>
      <c r="H1164" s="22"/>
      <c r="I1164" s="22"/>
      <c r="J1164" s="22"/>
      <c r="K1164" s="22"/>
      <c r="L1164" s="22"/>
      <c r="M1164" s="22"/>
      <c r="N1164" s="22"/>
      <c r="O1164" s="22"/>
      <c r="P1164" s="22"/>
      <c r="Q1164" s="22"/>
      <c r="R1164" s="22"/>
      <c r="S1164" s="22"/>
      <c r="T1164" s="22"/>
      <c r="U1164" s="22"/>
      <c r="V1164" s="22"/>
      <c r="W1164" s="22"/>
      <c r="X1164" s="22"/>
      <c r="Y1164" s="22"/>
      <c r="Z1164" s="22"/>
      <c r="AA1164" s="22"/>
      <c r="AB1164" s="22"/>
      <c r="AC1164" s="22"/>
      <c r="AD1164" s="22"/>
      <c r="AE1164" s="22"/>
    </row>
    <row r="1165">
      <c r="A1165" s="22"/>
      <c r="B1165" s="22" t="str">
        <f>IF(ISBLANK(A1165),"",VLOOKUP(A1165,DOI_URL!$B$1:$C$74,2,FALSE()))</f>
        <v/>
      </c>
      <c r="C1165" s="22"/>
      <c r="D1165" s="22"/>
      <c r="E1165" s="22"/>
      <c r="F1165" s="22"/>
      <c r="G1165" s="22"/>
      <c r="H1165" s="22"/>
      <c r="I1165" s="22"/>
      <c r="J1165" s="22"/>
      <c r="K1165" s="22"/>
      <c r="L1165" s="22"/>
      <c r="M1165" s="22"/>
      <c r="N1165" s="22"/>
      <c r="O1165" s="22"/>
      <c r="P1165" s="22"/>
      <c r="Q1165" s="22"/>
      <c r="R1165" s="22"/>
      <c r="S1165" s="22"/>
      <c r="T1165" s="22"/>
      <c r="U1165" s="22"/>
      <c r="V1165" s="22"/>
      <c r="W1165" s="22"/>
      <c r="X1165" s="22"/>
      <c r="Y1165" s="22"/>
      <c r="Z1165" s="22"/>
      <c r="AA1165" s="22"/>
      <c r="AB1165" s="22"/>
      <c r="AC1165" s="22"/>
      <c r="AD1165" s="22"/>
      <c r="AE1165" s="22"/>
    </row>
    <row r="1166">
      <c r="A1166" s="22"/>
      <c r="B1166" s="22" t="str">
        <f>IF(ISBLANK(A1166),"",VLOOKUP(A1166,DOI_URL!$B$1:$C$74,2,FALSE()))</f>
        <v/>
      </c>
      <c r="C1166" s="22"/>
      <c r="D1166" s="22"/>
      <c r="E1166" s="22"/>
      <c r="F1166" s="22"/>
      <c r="G1166" s="22"/>
      <c r="H1166" s="22"/>
      <c r="I1166" s="22"/>
      <c r="J1166" s="22"/>
      <c r="K1166" s="22"/>
      <c r="L1166" s="22"/>
      <c r="M1166" s="22"/>
      <c r="N1166" s="22"/>
      <c r="O1166" s="22"/>
      <c r="P1166" s="22"/>
      <c r="Q1166" s="22"/>
      <c r="R1166" s="22"/>
      <c r="S1166" s="22"/>
      <c r="T1166" s="22"/>
      <c r="U1166" s="22"/>
      <c r="V1166" s="22"/>
      <c r="W1166" s="22"/>
      <c r="X1166" s="22"/>
      <c r="Y1166" s="22"/>
      <c r="Z1166" s="22"/>
      <c r="AA1166" s="22"/>
      <c r="AB1166" s="22"/>
      <c r="AC1166" s="22"/>
      <c r="AD1166" s="22"/>
      <c r="AE1166" s="22"/>
    </row>
    <row r="1167">
      <c r="A1167" s="22"/>
      <c r="B1167" s="22" t="str">
        <f>IF(ISBLANK(A1167),"",VLOOKUP(A1167,DOI_URL!$B$1:$C$74,2,FALSE()))</f>
        <v/>
      </c>
      <c r="C1167" s="22"/>
      <c r="D1167" s="22"/>
      <c r="E1167" s="22"/>
      <c r="F1167" s="22"/>
      <c r="G1167" s="22"/>
      <c r="H1167" s="22"/>
      <c r="I1167" s="22"/>
      <c r="J1167" s="22"/>
      <c r="K1167" s="22"/>
      <c r="L1167" s="22"/>
      <c r="M1167" s="22"/>
      <c r="N1167" s="22"/>
      <c r="O1167" s="22"/>
      <c r="P1167" s="22"/>
      <c r="Q1167" s="22"/>
      <c r="R1167" s="22"/>
      <c r="S1167" s="22"/>
      <c r="T1167" s="22"/>
      <c r="U1167" s="22"/>
      <c r="V1167" s="22"/>
      <c r="W1167" s="22"/>
      <c r="X1167" s="22"/>
      <c r="Y1167" s="22"/>
      <c r="Z1167" s="22"/>
      <c r="AA1167" s="22"/>
      <c r="AB1167" s="22"/>
      <c r="AC1167" s="22"/>
      <c r="AD1167" s="22"/>
      <c r="AE1167" s="22"/>
    </row>
  </sheetData>
  <dataValidations>
    <dataValidation type="list" allowBlank="1" sqref="A2:A114 A151:A1167">
      <formula1>Assignment!$X$3:$X$50</formula1>
    </dataValidation>
    <dataValidation type="list" allowBlank="1" showInputMessage="1" prompt="Haz clic e introduce un valor de intervalo 'General Taggs'!C2:C32" sqref="I2:I1167">
      <formula1>'General Tags'!$D$2:$D$32</formula1>
    </dataValidation>
    <dataValidation type="list" allowBlank="1" sqref="C2:C1167">
      <formula1>'General Tags'!$B$2:$B$3</formula1>
    </dataValidation>
    <dataValidation type="list" allowBlank="1" sqref="D2:D1167">
      <formula1>'General Tags'!$C$2:$C$3</formula1>
    </dataValidation>
    <dataValidation type="list" allowBlank="1" showInputMessage="1" showErrorMessage="1" prompt="Please, first add the SE task in the General tags page in column E" sqref="J2:J1167">
      <formula1>'General Tags'!$F$2:$F$295</formula1>
    </dataValidation>
  </dataValidation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0"/>
    <col customWidth="1" min="4" max="4" width="20.13"/>
    <col customWidth="1" min="5" max="5" width="21.63"/>
    <col customWidth="1" min="6" max="6" width="45.5"/>
    <col customWidth="1" min="7" max="8" width="32.63"/>
    <col customWidth="1" min="9" max="9" width="19.63"/>
    <col customWidth="1" min="10" max="10" width="25.38"/>
  </cols>
  <sheetData>
    <row r="1" ht="35.25" customHeight="1">
      <c r="A1" s="163" t="s">
        <v>3329</v>
      </c>
      <c r="B1" s="163" t="s">
        <v>3330</v>
      </c>
      <c r="C1" s="163" t="s">
        <v>3307</v>
      </c>
      <c r="D1" s="163" t="s">
        <v>3331</v>
      </c>
      <c r="E1" s="163" t="s">
        <v>2</v>
      </c>
      <c r="F1" s="164" t="s">
        <v>3</v>
      </c>
      <c r="G1" s="165" t="s">
        <v>4</v>
      </c>
      <c r="H1" s="166" t="s">
        <v>5</v>
      </c>
      <c r="I1" s="164" t="s">
        <v>6</v>
      </c>
      <c r="J1" s="164" t="s">
        <v>7</v>
      </c>
      <c r="K1" s="22"/>
      <c r="L1" s="22"/>
      <c r="M1" s="22"/>
      <c r="N1" s="22"/>
      <c r="O1" s="22"/>
      <c r="P1" s="22"/>
      <c r="Q1" s="22"/>
      <c r="R1" s="22"/>
      <c r="S1" s="22"/>
      <c r="T1" s="22"/>
      <c r="U1" s="22"/>
      <c r="V1" s="22"/>
      <c r="W1" s="22"/>
      <c r="X1" s="22"/>
      <c r="Y1" s="22"/>
      <c r="Z1" s="22"/>
      <c r="AA1" s="22"/>
      <c r="AB1" s="22"/>
      <c r="AC1" s="22"/>
      <c r="AD1" s="22"/>
      <c r="AE1" s="22"/>
    </row>
    <row r="2">
      <c r="A2" s="17" t="s">
        <v>128</v>
      </c>
      <c r="B2" s="167" t="str">
        <f>IF(ISBLANK(A2),"",VLOOKUP(A2,DOI_URL!$B$1:$C$74,2,FALSE()))</f>
        <v>https://drive.google.com/file/d/1oTRsugblJG5fENgDVJ3De-UDeSWjQCaq/view?usp=sharing</v>
      </c>
      <c r="C2" s="17" t="s">
        <v>3311</v>
      </c>
      <c r="D2" s="17" t="s">
        <v>3311</v>
      </c>
      <c r="E2" s="17" t="s">
        <v>129</v>
      </c>
      <c r="F2" s="17" t="s">
        <v>27</v>
      </c>
      <c r="G2" s="17" t="s">
        <v>130</v>
      </c>
      <c r="H2" s="17" t="s">
        <v>131</v>
      </c>
      <c r="I2" s="17" t="s">
        <v>14</v>
      </c>
      <c r="J2" s="17" t="s">
        <v>15</v>
      </c>
      <c r="K2" s="22"/>
      <c r="L2" s="22"/>
      <c r="M2" s="22"/>
      <c r="N2" s="22"/>
      <c r="O2" s="22"/>
      <c r="P2" s="22"/>
      <c r="Q2" s="22"/>
      <c r="R2" s="22"/>
      <c r="S2" s="22"/>
      <c r="T2" s="22"/>
      <c r="U2" s="22"/>
      <c r="V2" s="22"/>
      <c r="W2" s="22"/>
      <c r="X2" s="22"/>
      <c r="Y2" s="22"/>
      <c r="Z2" s="22"/>
      <c r="AA2" s="22"/>
      <c r="AB2" s="22"/>
      <c r="AC2" s="22"/>
      <c r="AD2" s="22"/>
      <c r="AE2" s="22"/>
    </row>
    <row r="3">
      <c r="A3" s="17" t="s">
        <v>128</v>
      </c>
      <c r="B3" s="167" t="str">
        <f>IF(ISBLANK(A3),"",VLOOKUP(A3,DOI_URL!$B$1:$C$74,2,FALSE()))</f>
        <v>https://drive.google.com/file/d/1oTRsugblJG5fENgDVJ3De-UDeSWjQCaq/view?usp=sharing</v>
      </c>
      <c r="C3" s="17" t="s">
        <v>3311</v>
      </c>
      <c r="D3" s="17" t="s">
        <v>3311</v>
      </c>
      <c r="E3" s="17" t="s">
        <v>132</v>
      </c>
      <c r="F3" s="17" t="s">
        <v>133</v>
      </c>
      <c r="G3" s="17" t="s">
        <v>134</v>
      </c>
      <c r="H3" s="17" t="s">
        <v>135</v>
      </c>
      <c r="I3" s="17" t="s">
        <v>14</v>
      </c>
      <c r="J3" s="17" t="s">
        <v>15</v>
      </c>
      <c r="K3" s="22"/>
      <c r="L3" s="22"/>
      <c r="M3" s="22"/>
      <c r="N3" s="22"/>
      <c r="O3" s="22"/>
      <c r="P3" s="22"/>
      <c r="Q3" s="22"/>
      <c r="R3" s="22"/>
      <c r="S3" s="22"/>
      <c r="T3" s="22"/>
      <c r="U3" s="22"/>
      <c r="V3" s="22"/>
      <c r="W3" s="22"/>
      <c r="X3" s="22"/>
      <c r="Y3" s="22"/>
      <c r="Z3" s="22"/>
      <c r="AA3" s="22"/>
      <c r="AB3" s="22"/>
      <c r="AC3" s="22"/>
      <c r="AD3" s="22"/>
      <c r="AE3" s="22"/>
    </row>
    <row r="4">
      <c r="A4" s="17" t="s">
        <v>128</v>
      </c>
      <c r="B4" s="167" t="str">
        <f>IF(ISBLANK(A4),"",VLOOKUP(A4,DOI_URL!$B$1:$C$74,2,FALSE()))</f>
        <v>https://drive.google.com/file/d/1oTRsugblJG5fENgDVJ3De-UDeSWjQCaq/view?usp=sharing</v>
      </c>
      <c r="C4" s="17" t="s">
        <v>3311</v>
      </c>
      <c r="D4" s="17" t="s">
        <v>3311</v>
      </c>
      <c r="E4" s="17" t="s">
        <v>132</v>
      </c>
      <c r="F4" s="17" t="s">
        <v>136</v>
      </c>
      <c r="G4" s="17" t="s">
        <v>137</v>
      </c>
      <c r="H4" s="17" t="s">
        <v>135</v>
      </c>
      <c r="I4" s="17" t="s">
        <v>20</v>
      </c>
      <c r="J4" s="17" t="s">
        <v>15</v>
      </c>
      <c r="K4" s="22"/>
      <c r="L4" s="22"/>
      <c r="M4" s="22"/>
      <c r="N4" s="22"/>
      <c r="O4" s="22"/>
      <c r="P4" s="22"/>
      <c r="Q4" s="22"/>
      <c r="R4" s="22"/>
      <c r="S4" s="22"/>
      <c r="T4" s="22"/>
      <c r="U4" s="22"/>
      <c r="V4" s="22"/>
      <c r="W4" s="22"/>
      <c r="X4" s="22"/>
      <c r="Y4" s="22"/>
      <c r="Z4" s="22"/>
      <c r="AA4" s="22"/>
      <c r="AB4" s="22"/>
      <c r="AC4" s="22"/>
      <c r="AD4" s="22"/>
      <c r="AE4" s="22"/>
    </row>
    <row r="5">
      <c r="A5" s="17" t="s">
        <v>128</v>
      </c>
      <c r="B5" s="167" t="str">
        <f>IF(ISBLANK(A5),"",VLOOKUP(A5,DOI_URL!$B$1:$C$74,2,FALSE()))</f>
        <v>https://drive.google.com/file/d/1oTRsugblJG5fENgDVJ3De-UDeSWjQCaq/view?usp=sharing</v>
      </c>
      <c r="C5" s="17" t="s">
        <v>3311</v>
      </c>
      <c r="D5" s="17" t="s">
        <v>3311</v>
      </c>
      <c r="E5" s="17" t="s">
        <v>132</v>
      </c>
      <c r="F5" s="17" t="s">
        <v>136</v>
      </c>
      <c r="G5" s="17" t="s">
        <v>139</v>
      </c>
      <c r="H5" s="17" t="s">
        <v>135</v>
      </c>
      <c r="I5" s="17" t="s">
        <v>20</v>
      </c>
      <c r="J5" s="17" t="s">
        <v>15</v>
      </c>
      <c r="K5" s="22"/>
      <c r="L5" s="22"/>
      <c r="M5" s="22"/>
      <c r="N5" s="22"/>
      <c r="O5" s="22"/>
      <c r="P5" s="22"/>
      <c r="Q5" s="22"/>
      <c r="R5" s="22"/>
      <c r="S5" s="22"/>
      <c r="T5" s="22"/>
      <c r="U5" s="22"/>
      <c r="V5" s="22"/>
      <c r="W5" s="22"/>
      <c r="X5" s="22"/>
      <c r="Y5" s="22"/>
      <c r="Z5" s="22"/>
      <c r="AA5" s="22"/>
      <c r="AB5" s="22"/>
      <c r="AC5" s="22"/>
      <c r="AD5" s="22"/>
      <c r="AE5" s="22"/>
    </row>
    <row r="6">
      <c r="A6" s="17" t="s">
        <v>128</v>
      </c>
      <c r="B6" s="167" t="str">
        <f>IF(ISBLANK(A6),"",VLOOKUP(A6,DOI_URL!$B$1:$C$74,2,FALSE()))</f>
        <v>https://drive.google.com/file/d/1oTRsugblJG5fENgDVJ3De-UDeSWjQCaq/view?usp=sharing</v>
      </c>
      <c r="C6" s="17" t="s">
        <v>3311</v>
      </c>
      <c r="D6" s="17" t="s">
        <v>3311</v>
      </c>
      <c r="E6" s="17" t="s">
        <v>132</v>
      </c>
      <c r="F6" s="17" t="s">
        <v>136</v>
      </c>
      <c r="G6" s="17" t="s">
        <v>140</v>
      </c>
      <c r="H6" s="17" t="s">
        <v>135</v>
      </c>
      <c r="I6" s="17" t="s">
        <v>20</v>
      </c>
      <c r="J6" s="17" t="s">
        <v>15</v>
      </c>
      <c r="K6" s="22"/>
      <c r="L6" s="22"/>
      <c r="M6" s="22"/>
      <c r="N6" s="22"/>
      <c r="O6" s="22"/>
      <c r="P6" s="22"/>
      <c r="Q6" s="22"/>
      <c r="R6" s="22"/>
      <c r="S6" s="22"/>
      <c r="T6" s="22"/>
      <c r="U6" s="22"/>
      <c r="V6" s="22"/>
      <c r="W6" s="22"/>
      <c r="X6" s="22"/>
      <c r="Y6" s="22"/>
      <c r="Z6" s="22"/>
      <c r="AA6" s="22"/>
      <c r="AB6" s="22"/>
      <c r="AC6" s="22"/>
      <c r="AD6" s="22"/>
      <c r="AE6" s="22"/>
    </row>
    <row r="7">
      <c r="A7" s="17" t="s">
        <v>128</v>
      </c>
      <c r="B7" s="167" t="str">
        <f>IF(ISBLANK(A7),"",VLOOKUP(A7,DOI_URL!$B$1:$C$74,2,FALSE()))</f>
        <v>https://drive.google.com/file/d/1oTRsugblJG5fENgDVJ3De-UDeSWjQCaq/view?usp=sharing</v>
      </c>
      <c r="C7" s="17" t="s">
        <v>3311</v>
      </c>
      <c r="D7" s="17" t="s">
        <v>3311</v>
      </c>
      <c r="E7" s="17" t="s">
        <v>141</v>
      </c>
      <c r="F7" s="17" t="s">
        <v>136</v>
      </c>
      <c r="G7" s="17" t="s">
        <v>142</v>
      </c>
      <c r="H7" s="17" t="s">
        <v>135</v>
      </c>
      <c r="I7" s="17" t="s">
        <v>20</v>
      </c>
      <c r="J7" s="17" t="s">
        <v>15</v>
      </c>
      <c r="K7" s="22"/>
      <c r="L7" s="22"/>
      <c r="M7" s="22"/>
      <c r="N7" s="22"/>
      <c r="O7" s="22"/>
      <c r="P7" s="22"/>
      <c r="Q7" s="22"/>
      <c r="R7" s="22"/>
      <c r="S7" s="22"/>
      <c r="T7" s="22"/>
      <c r="U7" s="22"/>
      <c r="V7" s="22"/>
      <c r="W7" s="22"/>
      <c r="X7" s="22"/>
      <c r="Y7" s="22"/>
      <c r="Z7" s="22"/>
      <c r="AA7" s="22"/>
      <c r="AB7" s="22"/>
      <c r="AC7" s="22"/>
      <c r="AD7" s="22"/>
      <c r="AE7" s="22"/>
    </row>
    <row r="8">
      <c r="A8" s="17" t="s">
        <v>128</v>
      </c>
      <c r="B8" s="167" t="str">
        <f>IF(ISBLANK(A8),"",VLOOKUP(A8,DOI_URL!$B$1:$C$74,2,FALSE()))</f>
        <v>https://drive.google.com/file/d/1oTRsugblJG5fENgDVJ3De-UDeSWjQCaq/view?usp=sharing</v>
      </c>
      <c r="C8" s="17" t="s">
        <v>3311</v>
      </c>
      <c r="D8" s="17" t="s">
        <v>3311</v>
      </c>
      <c r="E8" s="17" t="s">
        <v>141</v>
      </c>
      <c r="F8" s="17" t="s">
        <v>143</v>
      </c>
      <c r="G8" s="17" t="s">
        <v>144</v>
      </c>
      <c r="H8" s="17" t="s">
        <v>145</v>
      </c>
      <c r="I8" s="17" t="s">
        <v>20</v>
      </c>
      <c r="J8" s="17" t="s">
        <v>15</v>
      </c>
      <c r="K8" s="22"/>
      <c r="L8" s="22"/>
      <c r="M8" s="22"/>
      <c r="N8" s="22"/>
      <c r="O8" s="22"/>
      <c r="P8" s="22"/>
      <c r="Q8" s="22"/>
      <c r="R8" s="22"/>
      <c r="S8" s="22"/>
      <c r="T8" s="22"/>
      <c r="U8" s="22"/>
      <c r="V8" s="22"/>
      <c r="W8" s="22"/>
      <c r="X8" s="22"/>
      <c r="Y8" s="22"/>
      <c r="Z8" s="22"/>
      <c r="AA8" s="22"/>
      <c r="AB8" s="22"/>
      <c r="AC8" s="22"/>
      <c r="AD8" s="22"/>
      <c r="AE8" s="22"/>
    </row>
    <row r="9">
      <c r="A9" s="17" t="s">
        <v>128</v>
      </c>
      <c r="B9" s="167" t="str">
        <f>IF(ISBLANK(A9),"",VLOOKUP(A9,DOI_URL!$B$1:$C$74,2,FALSE()))</f>
        <v>https://drive.google.com/file/d/1oTRsugblJG5fENgDVJ3De-UDeSWjQCaq/view?usp=sharing</v>
      </c>
      <c r="C9" s="17" t="s">
        <v>3311</v>
      </c>
      <c r="D9" s="17" t="s">
        <v>3311</v>
      </c>
      <c r="E9" s="17" t="s">
        <v>141</v>
      </c>
      <c r="F9" s="17" t="s">
        <v>11</v>
      </c>
      <c r="G9" s="17" t="s">
        <v>12</v>
      </c>
      <c r="H9" s="17" t="s">
        <v>146</v>
      </c>
      <c r="I9" s="17" t="s">
        <v>14</v>
      </c>
      <c r="J9" s="17" t="s">
        <v>15</v>
      </c>
      <c r="K9" s="22"/>
      <c r="L9" s="22"/>
      <c r="M9" s="22"/>
      <c r="N9" s="22"/>
      <c r="O9" s="22"/>
      <c r="P9" s="22"/>
      <c r="Q9" s="22"/>
      <c r="R9" s="22"/>
      <c r="S9" s="22"/>
      <c r="T9" s="22"/>
      <c r="U9" s="22"/>
      <c r="V9" s="22"/>
      <c r="W9" s="22"/>
      <c r="X9" s="22"/>
      <c r="Y9" s="22"/>
      <c r="Z9" s="22"/>
      <c r="AA9" s="22"/>
      <c r="AB9" s="22"/>
      <c r="AC9" s="22"/>
      <c r="AD9" s="22"/>
      <c r="AE9" s="22"/>
    </row>
    <row r="10">
      <c r="A10" s="17" t="s">
        <v>128</v>
      </c>
      <c r="B10" s="167" t="str">
        <f>IF(ISBLANK(A10),"",VLOOKUP(A10,DOI_URL!$B$1:$C$74,2,FALSE()))</f>
        <v>https://drive.google.com/file/d/1oTRsugblJG5fENgDVJ3De-UDeSWjQCaq/view?usp=sharing</v>
      </c>
      <c r="C10" s="17" t="s">
        <v>3311</v>
      </c>
      <c r="D10" s="17" t="s">
        <v>3311</v>
      </c>
      <c r="E10" s="17" t="s">
        <v>141</v>
      </c>
      <c r="F10" s="17" t="s">
        <v>147</v>
      </c>
      <c r="G10" s="17" t="s">
        <v>148</v>
      </c>
      <c r="H10" s="17" t="s">
        <v>149</v>
      </c>
      <c r="I10" s="17" t="s">
        <v>14</v>
      </c>
      <c r="J10" s="17" t="s">
        <v>15</v>
      </c>
      <c r="K10" s="22"/>
      <c r="L10" s="22"/>
      <c r="M10" s="22"/>
      <c r="N10" s="22"/>
      <c r="O10" s="22"/>
      <c r="P10" s="22"/>
      <c r="Q10" s="22"/>
      <c r="R10" s="22"/>
      <c r="S10" s="22"/>
      <c r="T10" s="22"/>
      <c r="U10" s="22"/>
      <c r="V10" s="22"/>
      <c r="W10" s="22"/>
      <c r="X10" s="22"/>
      <c r="Y10" s="22"/>
      <c r="Z10" s="22"/>
      <c r="AA10" s="22"/>
      <c r="AB10" s="22"/>
      <c r="AC10" s="22"/>
      <c r="AD10" s="22"/>
      <c r="AE10" s="22"/>
    </row>
    <row r="11">
      <c r="A11" s="17" t="s">
        <v>128</v>
      </c>
      <c r="B11" s="167" t="str">
        <f>IF(ISBLANK(A11),"",VLOOKUP(A11,DOI_URL!$B$1:$C$74,2,FALSE()))</f>
        <v>https://drive.google.com/file/d/1oTRsugblJG5fENgDVJ3De-UDeSWjQCaq/view?usp=sharing</v>
      </c>
      <c r="C11" s="17" t="s">
        <v>3311</v>
      </c>
      <c r="D11" s="17" t="s">
        <v>3311</v>
      </c>
      <c r="E11" s="17" t="s">
        <v>150</v>
      </c>
      <c r="F11" s="17" t="s">
        <v>151</v>
      </c>
      <c r="G11" s="17" t="s">
        <v>152</v>
      </c>
      <c r="H11" s="22"/>
      <c r="I11" s="17" t="s">
        <v>20</v>
      </c>
      <c r="J11" s="17" t="s">
        <v>15</v>
      </c>
      <c r="K11" s="22"/>
      <c r="L11" s="22"/>
      <c r="M11" s="22"/>
      <c r="N11" s="22"/>
      <c r="O11" s="22"/>
      <c r="P11" s="22"/>
      <c r="Q11" s="22"/>
      <c r="R11" s="22"/>
      <c r="S11" s="22"/>
      <c r="T11" s="22"/>
      <c r="U11" s="22"/>
      <c r="V11" s="22"/>
      <c r="W11" s="22"/>
      <c r="X11" s="22"/>
      <c r="Y11" s="22"/>
      <c r="Z11" s="22"/>
      <c r="AA11" s="22"/>
      <c r="AB11" s="22"/>
      <c r="AC11" s="22"/>
      <c r="AD11" s="22"/>
      <c r="AE11" s="22"/>
    </row>
    <row r="12">
      <c r="A12" s="17" t="s">
        <v>128</v>
      </c>
      <c r="B12" s="167" t="str">
        <f>IF(ISBLANK(A12),"",VLOOKUP(A12,DOI_URL!$B$1:$C$74,2,FALSE()))</f>
        <v>https://drive.google.com/file/d/1oTRsugblJG5fENgDVJ3De-UDeSWjQCaq/view?usp=sharing</v>
      </c>
      <c r="C12" s="17" t="s">
        <v>3311</v>
      </c>
      <c r="D12" s="17" t="s">
        <v>3311</v>
      </c>
      <c r="E12" s="17" t="s">
        <v>153</v>
      </c>
      <c r="F12" s="17" t="s">
        <v>33</v>
      </c>
      <c r="G12" s="17" t="s">
        <v>154</v>
      </c>
      <c r="H12" s="22"/>
      <c r="I12" s="17" t="s">
        <v>44</v>
      </c>
      <c r="J12" s="17" t="s">
        <v>15</v>
      </c>
      <c r="K12" s="22"/>
      <c r="L12" s="22"/>
      <c r="M12" s="22"/>
      <c r="N12" s="22"/>
      <c r="O12" s="22"/>
      <c r="P12" s="22"/>
      <c r="Q12" s="22"/>
      <c r="R12" s="22"/>
      <c r="S12" s="22"/>
      <c r="T12" s="22"/>
      <c r="U12" s="22"/>
      <c r="V12" s="22"/>
      <c r="W12" s="22"/>
      <c r="X12" s="22"/>
      <c r="Y12" s="22"/>
      <c r="Z12" s="22"/>
      <c r="AA12" s="22"/>
      <c r="AB12" s="22"/>
      <c r="AC12" s="22"/>
      <c r="AD12" s="22"/>
      <c r="AE12" s="22"/>
    </row>
    <row r="13">
      <c r="A13" s="17" t="s">
        <v>128</v>
      </c>
      <c r="B13" s="167" t="str">
        <f>IF(ISBLANK(A13),"",VLOOKUP(A13,DOI_URL!$B$1:$C$74,2,FALSE()))</f>
        <v>https://drive.google.com/file/d/1oTRsugblJG5fENgDVJ3De-UDeSWjQCaq/view?usp=sharing</v>
      </c>
      <c r="C13" s="17" t="s">
        <v>3311</v>
      </c>
      <c r="D13" s="17" t="s">
        <v>3311</v>
      </c>
      <c r="E13" s="17" t="s">
        <v>153</v>
      </c>
      <c r="F13" s="17" t="s">
        <v>33</v>
      </c>
      <c r="G13" s="17" t="s">
        <v>2299</v>
      </c>
      <c r="H13" s="22"/>
      <c r="I13" s="17" t="s">
        <v>44</v>
      </c>
      <c r="J13" s="17" t="s">
        <v>15</v>
      </c>
      <c r="K13" s="22"/>
      <c r="L13" s="22"/>
      <c r="M13" s="22"/>
      <c r="N13" s="22"/>
      <c r="O13" s="22"/>
      <c r="P13" s="22"/>
      <c r="Q13" s="22"/>
      <c r="R13" s="22"/>
      <c r="S13" s="22"/>
      <c r="T13" s="22"/>
      <c r="U13" s="22"/>
      <c r="V13" s="22"/>
      <c r="W13" s="22"/>
      <c r="X13" s="22"/>
      <c r="Y13" s="22"/>
      <c r="Z13" s="22"/>
      <c r="AA13" s="22"/>
      <c r="AB13" s="22"/>
      <c r="AC13" s="22"/>
      <c r="AD13" s="22"/>
      <c r="AE13" s="22"/>
    </row>
    <row r="14">
      <c r="A14" s="17" t="s">
        <v>128</v>
      </c>
      <c r="B14" s="167" t="str">
        <f>IF(ISBLANK(A14),"",VLOOKUP(A14,DOI_URL!$B$1:$C$74,2,FALSE()))</f>
        <v>https://drive.google.com/file/d/1oTRsugblJG5fENgDVJ3De-UDeSWjQCaq/view?usp=sharing</v>
      </c>
      <c r="C14" s="17" t="s">
        <v>3311</v>
      </c>
      <c r="D14" s="17" t="s">
        <v>3311</v>
      </c>
      <c r="E14" s="17" t="s">
        <v>157</v>
      </c>
      <c r="F14" s="17" t="s">
        <v>158</v>
      </c>
      <c r="G14" s="17" t="s">
        <v>159</v>
      </c>
      <c r="H14" s="17" t="s">
        <v>2300</v>
      </c>
      <c r="I14" s="17" t="s">
        <v>54</v>
      </c>
      <c r="J14" s="17" t="s">
        <v>15</v>
      </c>
      <c r="K14" s="22"/>
      <c r="L14" s="22"/>
      <c r="M14" s="22"/>
      <c r="N14" s="22"/>
      <c r="O14" s="22"/>
      <c r="P14" s="22"/>
      <c r="Q14" s="22"/>
      <c r="R14" s="22"/>
      <c r="S14" s="22"/>
      <c r="T14" s="22"/>
      <c r="U14" s="22"/>
      <c r="V14" s="22"/>
      <c r="W14" s="22"/>
      <c r="X14" s="22"/>
      <c r="Y14" s="22"/>
      <c r="Z14" s="22"/>
      <c r="AA14" s="22"/>
      <c r="AB14" s="22"/>
      <c r="AC14" s="22"/>
      <c r="AD14" s="22"/>
      <c r="AE14" s="22"/>
    </row>
    <row r="15">
      <c r="A15" s="17" t="s">
        <v>128</v>
      </c>
      <c r="B15" s="167" t="str">
        <f>IF(ISBLANK(A15),"",VLOOKUP(A15,DOI_URL!$B$1:$C$74,2,FALSE()))</f>
        <v>https://drive.google.com/file/d/1oTRsugblJG5fENgDVJ3De-UDeSWjQCaq/view?usp=sharing</v>
      </c>
      <c r="C15" s="17" t="s">
        <v>3311</v>
      </c>
      <c r="D15" s="17" t="s">
        <v>3311</v>
      </c>
      <c r="E15" s="17" t="s">
        <v>161</v>
      </c>
      <c r="F15" s="17" t="s">
        <v>162</v>
      </c>
      <c r="G15" s="17" t="s">
        <v>163</v>
      </c>
      <c r="H15" s="17" t="s">
        <v>164</v>
      </c>
      <c r="I15" s="17" t="s">
        <v>20</v>
      </c>
      <c r="J15" s="17" t="s">
        <v>15</v>
      </c>
      <c r="K15" s="22"/>
      <c r="L15" s="22"/>
      <c r="M15" s="22"/>
      <c r="N15" s="22"/>
      <c r="O15" s="22"/>
      <c r="P15" s="22"/>
      <c r="Q15" s="22"/>
      <c r="R15" s="22"/>
      <c r="S15" s="22"/>
      <c r="T15" s="22"/>
      <c r="U15" s="22"/>
      <c r="V15" s="22"/>
      <c r="W15" s="22"/>
      <c r="X15" s="22"/>
      <c r="Y15" s="22"/>
      <c r="Z15" s="22"/>
      <c r="AA15" s="22"/>
      <c r="AB15" s="22"/>
      <c r="AC15" s="22"/>
      <c r="AD15" s="22"/>
      <c r="AE15" s="22"/>
    </row>
    <row r="16">
      <c r="A16" s="17" t="s">
        <v>128</v>
      </c>
      <c r="B16" s="167" t="str">
        <f>IF(ISBLANK(A16),"",VLOOKUP(A16,DOI_URL!$B$1:$C$74,2,FALSE()))</f>
        <v>https://drive.google.com/file/d/1oTRsugblJG5fENgDVJ3De-UDeSWjQCaq/view?usp=sharing</v>
      </c>
      <c r="C16" s="17" t="s">
        <v>3311</v>
      </c>
      <c r="D16" s="17" t="s">
        <v>3311</v>
      </c>
      <c r="E16" s="17" t="s">
        <v>161</v>
      </c>
      <c r="F16" s="17" t="s">
        <v>165</v>
      </c>
      <c r="G16" s="17" t="s">
        <v>2301</v>
      </c>
      <c r="H16" s="22"/>
      <c r="I16" s="17" t="s">
        <v>20</v>
      </c>
      <c r="J16" s="17" t="s">
        <v>15</v>
      </c>
      <c r="K16" s="22"/>
      <c r="L16" s="22"/>
      <c r="M16" s="22"/>
      <c r="N16" s="22"/>
      <c r="O16" s="22"/>
      <c r="P16" s="22"/>
      <c r="Q16" s="22"/>
      <c r="R16" s="22"/>
      <c r="S16" s="22"/>
      <c r="T16" s="22"/>
      <c r="U16" s="22"/>
      <c r="V16" s="22"/>
      <c r="W16" s="22"/>
      <c r="X16" s="22"/>
      <c r="Y16" s="22"/>
      <c r="Z16" s="22"/>
      <c r="AA16" s="22"/>
      <c r="AB16" s="22"/>
      <c r="AC16" s="22"/>
      <c r="AD16" s="22"/>
      <c r="AE16" s="22"/>
    </row>
    <row r="17">
      <c r="A17" s="17" t="s">
        <v>128</v>
      </c>
      <c r="B17" s="167" t="str">
        <f>IF(ISBLANK(A17),"",VLOOKUP(A17,DOI_URL!$B$1:$C$74,2,FALSE()))</f>
        <v>https://drive.google.com/file/d/1oTRsugblJG5fENgDVJ3De-UDeSWjQCaq/view?usp=sharing</v>
      </c>
      <c r="C17" s="17" t="s">
        <v>3311</v>
      </c>
      <c r="D17" s="17" t="s">
        <v>3311</v>
      </c>
      <c r="E17" s="17" t="s">
        <v>161</v>
      </c>
      <c r="F17" s="17" t="s">
        <v>167</v>
      </c>
      <c r="G17" s="17" t="s">
        <v>52</v>
      </c>
      <c r="H17" s="17" t="s">
        <v>168</v>
      </c>
      <c r="I17" s="17" t="s">
        <v>54</v>
      </c>
      <c r="J17" s="17" t="s">
        <v>15</v>
      </c>
      <c r="K17" s="22"/>
      <c r="L17" s="22"/>
      <c r="M17" s="22"/>
      <c r="N17" s="22"/>
      <c r="O17" s="22"/>
      <c r="P17" s="22"/>
      <c r="Q17" s="22"/>
      <c r="R17" s="22"/>
      <c r="S17" s="22"/>
      <c r="T17" s="22"/>
      <c r="U17" s="22"/>
      <c r="V17" s="22"/>
      <c r="W17" s="22"/>
      <c r="X17" s="22"/>
      <c r="Y17" s="22"/>
      <c r="Z17" s="22"/>
      <c r="AA17" s="22"/>
      <c r="AB17" s="22"/>
      <c r="AC17" s="22"/>
      <c r="AD17" s="22"/>
      <c r="AE17" s="22"/>
    </row>
    <row r="18">
      <c r="A18" s="17" t="s">
        <v>128</v>
      </c>
      <c r="B18" s="167" t="str">
        <f>IF(ISBLANK(A18),"",VLOOKUP(A18,DOI_URL!$B$1:$C$74,2,FALSE()))</f>
        <v>https://drive.google.com/file/d/1oTRsugblJG5fENgDVJ3De-UDeSWjQCaq/view?usp=sharing</v>
      </c>
      <c r="C18" s="17" t="s">
        <v>3311</v>
      </c>
      <c r="D18" s="17" t="s">
        <v>3309</v>
      </c>
      <c r="E18" s="17" t="s">
        <v>161</v>
      </c>
      <c r="F18" s="17" t="s">
        <v>175</v>
      </c>
      <c r="G18" s="17" t="s">
        <v>176</v>
      </c>
      <c r="H18" s="17" t="s">
        <v>38</v>
      </c>
      <c r="I18" s="17" t="s">
        <v>39</v>
      </c>
      <c r="J18" s="17" t="s">
        <v>15</v>
      </c>
      <c r="K18" s="22"/>
      <c r="L18" s="22"/>
      <c r="M18" s="22"/>
      <c r="N18" s="22"/>
      <c r="O18" s="22"/>
      <c r="P18" s="22"/>
      <c r="Q18" s="22"/>
      <c r="R18" s="22"/>
      <c r="S18" s="22"/>
      <c r="T18" s="22"/>
      <c r="U18" s="22"/>
      <c r="V18" s="22"/>
      <c r="W18" s="22"/>
      <c r="X18" s="22"/>
      <c r="Y18" s="22"/>
      <c r="Z18" s="22"/>
      <c r="AA18" s="22"/>
      <c r="AB18" s="22"/>
      <c r="AC18" s="22"/>
      <c r="AD18" s="22"/>
      <c r="AE18" s="22"/>
    </row>
    <row r="19">
      <c r="A19" s="17" t="s">
        <v>128</v>
      </c>
      <c r="B19" s="167" t="str">
        <f>IF(ISBLANK(A19),"",VLOOKUP(A19,DOI_URL!$B$1:$C$74,2,FALSE()))</f>
        <v>https://drive.google.com/file/d/1oTRsugblJG5fENgDVJ3De-UDeSWjQCaq/view?usp=sharing</v>
      </c>
      <c r="C19" s="17" t="s">
        <v>3311</v>
      </c>
      <c r="D19" s="17" t="s">
        <v>3309</v>
      </c>
      <c r="E19" s="17" t="s">
        <v>161</v>
      </c>
      <c r="F19" s="17" t="s">
        <v>175</v>
      </c>
      <c r="G19" s="17" t="s">
        <v>2302</v>
      </c>
      <c r="H19" s="17" t="s">
        <v>288</v>
      </c>
      <c r="I19" s="17" t="s">
        <v>39</v>
      </c>
      <c r="J19" s="17" t="s">
        <v>15</v>
      </c>
      <c r="K19" s="22"/>
      <c r="L19" s="22"/>
      <c r="M19" s="22"/>
      <c r="N19" s="22"/>
      <c r="O19" s="22"/>
      <c r="P19" s="22"/>
      <c r="Q19" s="22"/>
      <c r="R19" s="22"/>
      <c r="S19" s="22"/>
      <c r="T19" s="22"/>
      <c r="U19" s="22"/>
      <c r="V19" s="22"/>
      <c r="W19" s="22"/>
      <c r="X19" s="22"/>
      <c r="Y19" s="22"/>
      <c r="Z19" s="22"/>
      <c r="AA19" s="22"/>
      <c r="AB19" s="22"/>
      <c r="AC19" s="22"/>
      <c r="AD19" s="22"/>
      <c r="AE19" s="22"/>
    </row>
    <row r="20">
      <c r="A20" s="17" t="s">
        <v>128</v>
      </c>
      <c r="B20" s="167" t="str">
        <f>IF(ISBLANK(A20),"",VLOOKUP(A20,DOI_URL!$B$1:$C$74,2,FALSE()))</f>
        <v>https://drive.google.com/file/d/1oTRsugblJG5fENgDVJ3De-UDeSWjQCaq/view?usp=sharing</v>
      </c>
      <c r="C20" s="17" t="s">
        <v>3311</v>
      </c>
      <c r="D20" s="17" t="s">
        <v>3309</v>
      </c>
      <c r="E20" s="17" t="s">
        <v>161</v>
      </c>
      <c r="F20" s="17" t="s">
        <v>177</v>
      </c>
      <c r="G20" s="17" t="s">
        <v>178</v>
      </c>
      <c r="H20" s="17" t="s">
        <v>63</v>
      </c>
      <c r="I20" s="17" t="s">
        <v>39</v>
      </c>
      <c r="J20" s="17" t="s">
        <v>15</v>
      </c>
      <c r="K20" s="22"/>
      <c r="L20" s="22"/>
      <c r="M20" s="22"/>
      <c r="N20" s="22"/>
      <c r="O20" s="22"/>
      <c r="P20" s="22"/>
      <c r="Q20" s="22"/>
      <c r="R20" s="22"/>
      <c r="S20" s="22"/>
      <c r="T20" s="22"/>
      <c r="U20" s="22"/>
      <c r="V20" s="22"/>
      <c r="W20" s="22"/>
      <c r="X20" s="22"/>
      <c r="Y20" s="22"/>
      <c r="Z20" s="22"/>
      <c r="AA20" s="22"/>
      <c r="AB20" s="22"/>
      <c r="AC20" s="22"/>
      <c r="AD20" s="22"/>
      <c r="AE20" s="22"/>
    </row>
    <row r="21">
      <c r="A21" s="17" t="s">
        <v>128</v>
      </c>
      <c r="B21" s="167" t="str">
        <f>IF(ISBLANK(A21),"",VLOOKUP(A21,DOI_URL!$B$1:$C$74,2,FALSE()))</f>
        <v>https://drive.google.com/file/d/1oTRsugblJG5fENgDVJ3De-UDeSWjQCaq/view?usp=sharing</v>
      </c>
      <c r="C21" s="17" t="s">
        <v>3311</v>
      </c>
      <c r="D21" s="17" t="s">
        <v>3309</v>
      </c>
      <c r="E21" s="17" t="s">
        <v>179</v>
      </c>
      <c r="F21" s="17" t="s">
        <v>180</v>
      </c>
      <c r="G21" s="17" t="s">
        <v>2252</v>
      </c>
      <c r="H21" s="17" t="s">
        <v>181</v>
      </c>
      <c r="I21" s="17" t="s">
        <v>39</v>
      </c>
      <c r="J21" s="17" t="s">
        <v>15</v>
      </c>
      <c r="K21" s="22"/>
      <c r="L21" s="22"/>
      <c r="M21" s="22"/>
      <c r="N21" s="22"/>
      <c r="O21" s="22"/>
      <c r="P21" s="22"/>
      <c r="Q21" s="22"/>
      <c r="R21" s="22"/>
      <c r="S21" s="22"/>
      <c r="T21" s="22"/>
      <c r="U21" s="22"/>
      <c r="V21" s="22"/>
      <c r="W21" s="22"/>
      <c r="X21" s="22"/>
      <c r="Y21" s="22"/>
      <c r="Z21" s="22"/>
      <c r="AA21" s="22"/>
      <c r="AB21" s="22"/>
      <c r="AC21" s="22"/>
      <c r="AD21" s="22"/>
      <c r="AE21" s="22"/>
    </row>
    <row r="22">
      <c r="A22" s="17" t="s">
        <v>128</v>
      </c>
      <c r="B22" s="167" t="str">
        <f>IF(ISBLANK(A22),"",VLOOKUP(A22,DOI_URL!$B$1:$C$74,2,FALSE()))</f>
        <v>https://drive.google.com/file/d/1oTRsugblJG5fENgDVJ3De-UDeSWjQCaq/view?usp=sharing</v>
      </c>
      <c r="C22" s="17" t="s">
        <v>3311</v>
      </c>
      <c r="D22" s="17" t="s">
        <v>3309</v>
      </c>
      <c r="E22" s="17" t="s">
        <v>182</v>
      </c>
      <c r="F22" s="17" t="s">
        <v>183</v>
      </c>
      <c r="G22" s="17" t="s">
        <v>184</v>
      </c>
      <c r="H22" s="17" t="s">
        <v>185</v>
      </c>
      <c r="I22" s="17" t="s">
        <v>39</v>
      </c>
      <c r="J22" s="17" t="s">
        <v>15</v>
      </c>
      <c r="K22" s="22"/>
      <c r="L22" s="22"/>
      <c r="M22" s="22"/>
      <c r="N22" s="22"/>
      <c r="O22" s="22"/>
      <c r="P22" s="22"/>
      <c r="Q22" s="22"/>
      <c r="R22" s="22"/>
      <c r="S22" s="22"/>
      <c r="T22" s="22"/>
      <c r="U22" s="22"/>
      <c r="V22" s="22"/>
      <c r="W22" s="22"/>
      <c r="X22" s="22"/>
      <c r="Y22" s="22"/>
      <c r="Z22" s="22"/>
      <c r="AA22" s="22"/>
      <c r="AB22" s="22"/>
      <c r="AC22" s="22"/>
      <c r="AD22" s="22"/>
      <c r="AE22" s="22"/>
    </row>
    <row r="23">
      <c r="A23" s="17" t="s">
        <v>128</v>
      </c>
      <c r="B23" s="167" t="str">
        <f>IF(ISBLANK(A23),"",VLOOKUP(A23,DOI_URL!$B$1:$C$74,2,FALSE()))</f>
        <v>https://drive.google.com/file/d/1oTRsugblJG5fENgDVJ3De-UDeSWjQCaq/view?usp=sharing</v>
      </c>
      <c r="C23" s="17" t="s">
        <v>3311</v>
      </c>
      <c r="D23" s="17" t="s">
        <v>3309</v>
      </c>
      <c r="E23" s="17" t="s">
        <v>186</v>
      </c>
      <c r="F23" s="17" t="s">
        <v>187</v>
      </c>
      <c r="G23" s="17" t="s">
        <v>188</v>
      </c>
      <c r="H23" s="17" t="s">
        <v>127</v>
      </c>
      <c r="I23" s="17" t="s">
        <v>39</v>
      </c>
      <c r="J23" s="17" t="s">
        <v>15</v>
      </c>
      <c r="K23" s="22"/>
      <c r="L23" s="22"/>
      <c r="M23" s="22"/>
      <c r="N23" s="22"/>
      <c r="O23" s="22"/>
      <c r="P23" s="22"/>
      <c r="Q23" s="22"/>
      <c r="R23" s="22"/>
      <c r="S23" s="22"/>
      <c r="T23" s="22"/>
      <c r="U23" s="22"/>
      <c r="V23" s="22"/>
      <c r="W23" s="22"/>
      <c r="X23" s="22"/>
      <c r="Y23" s="22"/>
      <c r="Z23" s="22"/>
      <c r="AA23" s="22"/>
      <c r="AB23" s="22"/>
      <c r="AC23" s="22"/>
      <c r="AD23" s="22"/>
      <c r="AE23" s="22"/>
    </row>
    <row r="24">
      <c r="A24" s="17" t="s">
        <v>8</v>
      </c>
      <c r="B24" s="167" t="str">
        <f>IF(ISBLANK(A24),"",VLOOKUP(A24,DOI_URL!$B$1:$C$74,2,FALSE()))</f>
        <v>https://drive.google.com/file/d/1islIY4iHsWbZv2j0YpCYsh6MsPQzmlRL/view?usp=sharing</v>
      </c>
      <c r="C24" s="17" t="s">
        <v>3311</v>
      </c>
      <c r="D24" s="17" t="s">
        <v>3311</v>
      </c>
      <c r="E24" s="182" t="s">
        <v>10</v>
      </c>
      <c r="F24" s="17" t="s">
        <v>11</v>
      </c>
      <c r="G24" s="17" t="s">
        <v>12</v>
      </c>
      <c r="H24" s="17" t="s">
        <v>13</v>
      </c>
      <c r="I24" s="17" t="s">
        <v>14</v>
      </c>
      <c r="J24" s="17" t="s">
        <v>15</v>
      </c>
      <c r="K24" s="22"/>
      <c r="L24" s="22"/>
      <c r="M24" s="22"/>
      <c r="N24" s="22"/>
      <c r="O24" s="22"/>
      <c r="P24" s="22"/>
      <c r="Q24" s="22"/>
      <c r="R24" s="22"/>
      <c r="S24" s="22"/>
      <c r="T24" s="22"/>
      <c r="U24" s="22"/>
      <c r="V24" s="22"/>
      <c r="W24" s="22"/>
      <c r="X24" s="22"/>
      <c r="Y24" s="22"/>
      <c r="Z24" s="22"/>
      <c r="AA24" s="22"/>
      <c r="AB24" s="22"/>
      <c r="AC24" s="22"/>
      <c r="AD24" s="22"/>
      <c r="AE24" s="22"/>
    </row>
    <row r="25">
      <c r="A25" s="17" t="s">
        <v>8</v>
      </c>
      <c r="B25" s="167" t="str">
        <f>IF(ISBLANK(A25),"",VLOOKUP(A25,DOI_URL!$B$1:$C$74,2,FALSE()))</f>
        <v>https://drive.google.com/file/d/1islIY4iHsWbZv2j0YpCYsh6MsPQzmlRL/view?usp=sharing</v>
      </c>
      <c r="C25" s="17" t="s">
        <v>3311</v>
      </c>
      <c r="D25" s="17" t="s">
        <v>3311</v>
      </c>
      <c r="E25" s="182" t="s">
        <v>16</v>
      </c>
      <c r="F25" s="17" t="s">
        <v>17</v>
      </c>
      <c r="G25" s="17" t="s">
        <v>18</v>
      </c>
      <c r="H25" s="17" t="s">
        <v>19</v>
      </c>
      <c r="I25" s="17" t="s">
        <v>20</v>
      </c>
      <c r="J25" s="17" t="s">
        <v>15</v>
      </c>
      <c r="K25" s="22"/>
      <c r="L25" s="22"/>
      <c r="M25" s="22"/>
      <c r="N25" s="22"/>
      <c r="O25" s="22"/>
      <c r="P25" s="22"/>
      <c r="Q25" s="22"/>
      <c r="R25" s="22"/>
      <c r="S25" s="22"/>
      <c r="T25" s="22"/>
      <c r="U25" s="22"/>
      <c r="V25" s="22"/>
      <c r="W25" s="22"/>
      <c r="X25" s="22"/>
      <c r="Y25" s="22"/>
      <c r="Z25" s="22"/>
      <c r="AA25" s="22"/>
      <c r="AB25" s="22"/>
      <c r="AC25" s="22"/>
      <c r="AD25" s="22"/>
      <c r="AE25" s="22"/>
    </row>
    <row r="26">
      <c r="A26" s="17" t="s">
        <v>8</v>
      </c>
      <c r="B26" s="167" t="str">
        <f>IF(ISBLANK(A26),"",VLOOKUP(A26,DOI_URL!$B$1:$C$74,2,FALSE()))</f>
        <v>https://drive.google.com/file/d/1islIY4iHsWbZv2j0YpCYsh6MsPQzmlRL/view?usp=sharing</v>
      </c>
      <c r="C26" s="17" t="s">
        <v>3311</v>
      </c>
      <c r="D26" s="17" t="s">
        <v>3311</v>
      </c>
      <c r="E26" s="182" t="s">
        <v>16</v>
      </c>
      <c r="F26" s="17" t="s">
        <v>21</v>
      </c>
      <c r="G26" s="17" t="s">
        <v>2244</v>
      </c>
      <c r="H26" s="17" t="s">
        <v>23</v>
      </c>
      <c r="I26" s="17" t="s">
        <v>20</v>
      </c>
      <c r="J26" s="17" t="s">
        <v>15</v>
      </c>
      <c r="K26" s="22"/>
      <c r="L26" s="22"/>
      <c r="M26" s="22"/>
      <c r="N26" s="22"/>
      <c r="O26" s="22"/>
      <c r="P26" s="22"/>
      <c r="Q26" s="22"/>
      <c r="R26" s="22"/>
      <c r="S26" s="22"/>
      <c r="T26" s="22"/>
      <c r="U26" s="22"/>
      <c r="V26" s="22"/>
      <c r="W26" s="22"/>
      <c r="X26" s="22"/>
      <c r="Y26" s="22"/>
      <c r="Z26" s="22"/>
      <c r="AA26" s="22"/>
      <c r="AB26" s="22"/>
      <c r="AC26" s="22"/>
      <c r="AD26" s="22"/>
      <c r="AE26" s="22"/>
    </row>
    <row r="27">
      <c r="A27" s="17" t="s">
        <v>8</v>
      </c>
      <c r="B27" s="167" t="str">
        <f>IF(ISBLANK(A27),"",VLOOKUP(A27,DOI_URL!$B$1:$C$74,2,FALSE()))</f>
        <v>https://drive.google.com/file/d/1islIY4iHsWbZv2j0YpCYsh6MsPQzmlRL/view?usp=sharing</v>
      </c>
      <c r="C27" s="17" t="s">
        <v>3311</v>
      </c>
      <c r="D27" s="17" t="s">
        <v>3311</v>
      </c>
      <c r="E27" s="182" t="s">
        <v>16</v>
      </c>
      <c r="F27" s="17" t="s">
        <v>21</v>
      </c>
      <c r="G27" s="17" t="s">
        <v>22</v>
      </c>
      <c r="H27" s="17" t="s">
        <v>23</v>
      </c>
      <c r="I27" s="17" t="s">
        <v>20</v>
      </c>
      <c r="J27" s="17" t="s">
        <v>15</v>
      </c>
      <c r="K27" s="22"/>
      <c r="L27" s="22"/>
      <c r="M27" s="22"/>
      <c r="N27" s="22"/>
      <c r="O27" s="22"/>
      <c r="P27" s="22"/>
      <c r="Q27" s="22"/>
      <c r="R27" s="22"/>
      <c r="S27" s="22"/>
      <c r="T27" s="22"/>
      <c r="U27" s="22"/>
      <c r="V27" s="22"/>
      <c r="W27" s="22"/>
      <c r="X27" s="22"/>
      <c r="Y27" s="22"/>
      <c r="Z27" s="22"/>
      <c r="AA27" s="22"/>
      <c r="AB27" s="22"/>
      <c r="AC27" s="22"/>
      <c r="AD27" s="22"/>
      <c r="AE27" s="22"/>
    </row>
    <row r="28">
      <c r="A28" s="17" t="s">
        <v>8</v>
      </c>
      <c r="B28" s="167" t="str">
        <f>IF(ISBLANK(A28),"",VLOOKUP(A28,DOI_URL!$B$1:$C$74,2,FALSE()))</f>
        <v>https://drive.google.com/file/d/1islIY4iHsWbZv2j0YpCYsh6MsPQzmlRL/view?usp=sharing</v>
      </c>
      <c r="C28" s="17" t="s">
        <v>3311</v>
      </c>
      <c r="D28" s="17" t="s">
        <v>3311</v>
      </c>
      <c r="E28" s="182" t="s">
        <v>16</v>
      </c>
      <c r="F28" s="17" t="s">
        <v>21</v>
      </c>
      <c r="G28" s="17" t="s">
        <v>24</v>
      </c>
      <c r="H28" s="17" t="s">
        <v>23</v>
      </c>
      <c r="I28" s="17" t="s">
        <v>20</v>
      </c>
      <c r="J28" s="17" t="s">
        <v>15</v>
      </c>
      <c r="K28" s="22"/>
      <c r="L28" s="22"/>
      <c r="M28" s="22"/>
      <c r="N28" s="22"/>
      <c r="O28" s="22"/>
      <c r="P28" s="22"/>
      <c r="Q28" s="22"/>
      <c r="R28" s="22"/>
      <c r="S28" s="22"/>
      <c r="T28" s="22"/>
      <c r="U28" s="22"/>
      <c r="V28" s="22"/>
      <c r="W28" s="22"/>
      <c r="X28" s="22"/>
      <c r="Y28" s="22"/>
      <c r="Z28" s="22"/>
      <c r="AA28" s="22"/>
      <c r="AB28" s="22"/>
      <c r="AC28" s="22"/>
      <c r="AD28" s="22"/>
      <c r="AE28" s="22"/>
    </row>
    <row r="29">
      <c r="A29" s="17" t="s">
        <v>8</v>
      </c>
      <c r="B29" s="167" t="str">
        <f>IF(ISBLANK(A29),"",VLOOKUP(A29,DOI_URL!$B$1:$C$74,2,FALSE()))</f>
        <v>https://drive.google.com/file/d/1islIY4iHsWbZv2j0YpCYsh6MsPQzmlRL/view?usp=sharing</v>
      </c>
      <c r="C29" s="17" t="s">
        <v>3311</v>
      </c>
      <c r="D29" s="17" t="s">
        <v>3309</v>
      </c>
      <c r="E29" s="182" t="s">
        <v>26</v>
      </c>
      <c r="F29" s="17" t="s">
        <v>27</v>
      </c>
      <c r="G29" s="182" t="s">
        <v>28</v>
      </c>
      <c r="H29" s="35" t="s">
        <v>29</v>
      </c>
      <c r="I29" s="17" t="s">
        <v>14</v>
      </c>
      <c r="J29" s="17" t="s">
        <v>15</v>
      </c>
      <c r="K29" s="22"/>
      <c r="L29" s="22"/>
      <c r="M29" s="22"/>
      <c r="N29" s="22"/>
      <c r="O29" s="22"/>
      <c r="P29" s="22"/>
      <c r="Q29" s="22"/>
      <c r="R29" s="22"/>
      <c r="S29" s="22"/>
      <c r="T29" s="22"/>
      <c r="U29" s="22"/>
      <c r="V29" s="22"/>
      <c r="W29" s="22"/>
      <c r="X29" s="22"/>
      <c r="Y29" s="22"/>
      <c r="Z29" s="22"/>
      <c r="AA29" s="22"/>
      <c r="AB29" s="22"/>
      <c r="AC29" s="22"/>
      <c r="AD29" s="22"/>
      <c r="AE29" s="22"/>
    </row>
    <row r="30">
      <c r="A30" s="17" t="s">
        <v>8</v>
      </c>
      <c r="B30" s="167" t="str">
        <f>IF(ISBLANK(A30),"",VLOOKUP(A30,DOI_URL!$B$1:$C$74,2,FALSE()))</f>
        <v>https://drive.google.com/file/d/1islIY4iHsWbZv2j0YpCYsh6MsPQzmlRL/view?usp=sharing</v>
      </c>
      <c r="C30" s="17" t="s">
        <v>3311</v>
      </c>
      <c r="D30" s="17" t="s">
        <v>3311</v>
      </c>
      <c r="E30" s="182" t="s">
        <v>30</v>
      </c>
      <c r="F30" s="17" t="s">
        <v>31</v>
      </c>
      <c r="G30" s="17" t="s">
        <v>32</v>
      </c>
      <c r="H30" s="17" t="s">
        <v>33</v>
      </c>
      <c r="I30" s="17" t="s">
        <v>20</v>
      </c>
      <c r="J30" s="17" t="s">
        <v>15</v>
      </c>
      <c r="K30" s="22"/>
      <c r="L30" s="22"/>
      <c r="M30" s="22"/>
      <c r="N30" s="22"/>
      <c r="O30" s="22"/>
      <c r="P30" s="22"/>
      <c r="Q30" s="22"/>
      <c r="R30" s="22"/>
      <c r="S30" s="22"/>
      <c r="T30" s="22"/>
      <c r="U30" s="22"/>
      <c r="V30" s="22"/>
      <c r="W30" s="22"/>
      <c r="X30" s="22"/>
      <c r="Y30" s="22"/>
      <c r="Z30" s="22"/>
      <c r="AA30" s="22"/>
      <c r="AB30" s="22"/>
      <c r="AC30" s="22"/>
      <c r="AD30" s="22"/>
      <c r="AE30" s="22"/>
    </row>
    <row r="31">
      <c r="A31" s="17" t="s">
        <v>8</v>
      </c>
      <c r="B31" s="167" t="str">
        <f>IF(ISBLANK(A31),"",VLOOKUP(A31,DOI_URL!$B$1:$C$74,2,FALSE()))</f>
        <v>https://drive.google.com/file/d/1islIY4iHsWbZv2j0YpCYsh6MsPQzmlRL/view?usp=sharing</v>
      </c>
      <c r="C31" s="17" t="s">
        <v>3311</v>
      </c>
      <c r="D31" s="17" t="s">
        <v>3311</v>
      </c>
      <c r="E31" s="182" t="s">
        <v>35</v>
      </c>
      <c r="F31" s="17" t="s">
        <v>36</v>
      </c>
      <c r="G31" s="17" t="s">
        <v>37</v>
      </c>
      <c r="H31" s="17" t="s">
        <v>38</v>
      </c>
      <c r="I31" s="17" t="s">
        <v>39</v>
      </c>
      <c r="J31" s="17" t="s">
        <v>15</v>
      </c>
      <c r="K31" s="22"/>
      <c r="L31" s="22"/>
      <c r="M31" s="22"/>
      <c r="N31" s="22"/>
      <c r="O31" s="22"/>
      <c r="P31" s="22"/>
      <c r="Q31" s="22"/>
      <c r="R31" s="22"/>
      <c r="S31" s="22"/>
      <c r="T31" s="22"/>
      <c r="U31" s="22"/>
      <c r="V31" s="22"/>
      <c r="W31" s="22"/>
      <c r="X31" s="22"/>
      <c r="Y31" s="22"/>
      <c r="Z31" s="22"/>
      <c r="AA31" s="22"/>
      <c r="AB31" s="22"/>
      <c r="AC31" s="22"/>
      <c r="AD31" s="22"/>
      <c r="AE31" s="22"/>
    </row>
    <row r="32">
      <c r="A32" s="17" t="s">
        <v>8</v>
      </c>
      <c r="B32" s="167" t="str">
        <f>IF(ISBLANK(A32),"",VLOOKUP(A32,DOI_URL!$B$1:$C$74,2,FALSE()))</f>
        <v>https://drive.google.com/file/d/1islIY4iHsWbZv2j0YpCYsh6MsPQzmlRL/view?usp=sharing</v>
      </c>
      <c r="C32" s="17" t="s">
        <v>3311</v>
      </c>
      <c r="D32" s="17" t="s">
        <v>3311</v>
      </c>
      <c r="E32" s="182" t="s">
        <v>45</v>
      </c>
      <c r="F32" s="17" t="s">
        <v>48</v>
      </c>
      <c r="G32" s="17" t="s">
        <v>49</v>
      </c>
      <c r="H32" s="17" t="s">
        <v>50</v>
      </c>
      <c r="I32" s="17" t="s">
        <v>54</v>
      </c>
      <c r="J32" s="17" t="s">
        <v>15</v>
      </c>
      <c r="K32" s="22"/>
      <c r="L32" s="22"/>
      <c r="M32" s="22"/>
      <c r="N32" s="22"/>
      <c r="O32" s="22"/>
      <c r="P32" s="22"/>
      <c r="Q32" s="22"/>
      <c r="R32" s="22"/>
      <c r="S32" s="22"/>
      <c r="T32" s="22"/>
      <c r="U32" s="22"/>
      <c r="V32" s="22"/>
      <c r="W32" s="22"/>
      <c r="X32" s="22"/>
      <c r="Y32" s="22"/>
      <c r="Z32" s="22"/>
      <c r="AA32" s="22"/>
      <c r="AB32" s="22"/>
      <c r="AC32" s="22"/>
      <c r="AD32" s="22"/>
      <c r="AE32" s="22"/>
    </row>
    <row r="33">
      <c r="A33" s="17" t="s">
        <v>8</v>
      </c>
      <c r="B33" s="167" t="str">
        <f>IF(ISBLANK(A33),"",VLOOKUP(A33,DOI_URL!$B$1:$C$74,2,FALSE()))</f>
        <v>https://drive.google.com/file/d/1islIY4iHsWbZv2j0YpCYsh6MsPQzmlRL/view?usp=sharing</v>
      </c>
      <c r="C33" s="17" t="s">
        <v>3311</v>
      </c>
      <c r="D33" s="17" t="s">
        <v>3311</v>
      </c>
      <c r="E33" s="182" t="s">
        <v>45</v>
      </c>
      <c r="F33" s="17" t="s">
        <v>51</v>
      </c>
      <c r="G33" s="17" t="s">
        <v>52</v>
      </c>
      <c r="H33" s="17" t="s">
        <v>53</v>
      </c>
      <c r="I33" s="17" t="s">
        <v>54</v>
      </c>
      <c r="J33" s="17" t="s">
        <v>15</v>
      </c>
      <c r="K33" s="22"/>
      <c r="L33" s="22"/>
      <c r="M33" s="22"/>
      <c r="N33" s="22"/>
      <c r="O33" s="22"/>
      <c r="P33" s="22"/>
      <c r="Q33" s="22"/>
      <c r="R33" s="22"/>
      <c r="S33" s="22"/>
      <c r="T33" s="22"/>
      <c r="U33" s="22"/>
      <c r="V33" s="22"/>
      <c r="W33" s="22"/>
      <c r="X33" s="22"/>
      <c r="Y33" s="22"/>
      <c r="Z33" s="22"/>
      <c r="AA33" s="22"/>
      <c r="AB33" s="22"/>
      <c r="AC33" s="22"/>
      <c r="AD33" s="22"/>
      <c r="AE33" s="22"/>
    </row>
    <row r="34">
      <c r="A34" s="17" t="s">
        <v>8</v>
      </c>
      <c r="B34" s="167" t="str">
        <f>IF(ISBLANK(A34),"",VLOOKUP(A34,DOI_URL!$B$1:$C$74,2,FALSE()))</f>
        <v>https://drive.google.com/file/d/1islIY4iHsWbZv2j0YpCYsh6MsPQzmlRL/view?usp=sharing</v>
      </c>
      <c r="C34" s="17" t="s">
        <v>3311</v>
      </c>
      <c r="D34" s="17" t="s">
        <v>3311</v>
      </c>
      <c r="E34" s="182" t="s">
        <v>55</v>
      </c>
      <c r="F34" s="17" t="s">
        <v>56</v>
      </c>
      <c r="G34" s="17" t="s">
        <v>2252</v>
      </c>
      <c r="H34" s="17" t="s">
        <v>58</v>
      </c>
      <c r="I34" s="17" t="s">
        <v>39</v>
      </c>
      <c r="J34" s="17" t="s">
        <v>15</v>
      </c>
      <c r="K34" s="22"/>
      <c r="L34" s="22"/>
      <c r="M34" s="22"/>
      <c r="N34" s="22"/>
      <c r="O34" s="22"/>
      <c r="P34" s="22"/>
      <c r="Q34" s="22"/>
      <c r="R34" s="22"/>
      <c r="S34" s="22"/>
      <c r="T34" s="22"/>
      <c r="U34" s="22"/>
      <c r="V34" s="22"/>
      <c r="W34" s="22"/>
      <c r="X34" s="22"/>
      <c r="Y34" s="22"/>
      <c r="Z34" s="22"/>
      <c r="AA34" s="22"/>
      <c r="AB34" s="22"/>
      <c r="AC34" s="22"/>
      <c r="AD34" s="22"/>
      <c r="AE34" s="22"/>
    </row>
    <row r="35">
      <c r="A35" s="17" t="s">
        <v>8</v>
      </c>
      <c r="B35" s="167" t="str">
        <f>IF(ISBLANK(A35),"",VLOOKUP(A35,DOI_URL!$B$1:$C$74,2,FALSE()))</f>
        <v>https://drive.google.com/file/d/1islIY4iHsWbZv2j0YpCYsh6MsPQzmlRL/view?usp=sharing</v>
      </c>
      <c r="C35" s="17" t="s">
        <v>3311</v>
      </c>
      <c r="D35" s="17" t="s">
        <v>3311</v>
      </c>
      <c r="E35" s="182" t="s">
        <v>60</v>
      </c>
      <c r="F35" s="17" t="s">
        <v>61</v>
      </c>
      <c r="G35" s="35" t="s">
        <v>3686</v>
      </c>
      <c r="H35" s="17" t="s">
        <v>63</v>
      </c>
      <c r="I35" s="17" t="s">
        <v>39</v>
      </c>
      <c r="J35" s="17" t="s">
        <v>15</v>
      </c>
      <c r="K35" s="22"/>
      <c r="L35" s="22"/>
      <c r="M35" s="22"/>
      <c r="N35" s="22"/>
      <c r="O35" s="22"/>
      <c r="P35" s="22"/>
      <c r="Q35" s="22"/>
      <c r="R35" s="22"/>
      <c r="S35" s="22"/>
      <c r="T35" s="22"/>
      <c r="U35" s="22"/>
      <c r="V35" s="22"/>
      <c r="W35" s="22"/>
      <c r="X35" s="22"/>
      <c r="Y35" s="22"/>
      <c r="Z35" s="22"/>
      <c r="AA35" s="22"/>
      <c r="AB35" s="22"/>
      <c r="AC35" s="22"/>
      <c r="AD35" s="22"/>
      <c r="AE35" s="22"/>
    </row>
    <row r="36">
      <c r="A36" s="17" t="s">
        <v>722</v>
      </c>
      <c r="B36" s="167" t="str">
        <f>IF(ISBLANK(A36),"",VLOOKUP(A36,DOI_URL!$B$1:$C$74,2,FALSE()))</f>
        <v>https://drive.google.com/file/d/1l7zORouaPHPaymAPFvkEtL2_Mqu3aoMm/view?usp=sharing</v>
      </c>
      <c r="C36" s="17" t="s">
        <v>3311</v>
      </c>
      <c r="D36" s="17" t="s">
        <v>3311</v>
      </c>
      <c r="E36" s="17" t="s">
        <v>774</v>
      </c>
      <c r="F36" s="17" t="s">
        <v>33</v>
      </c>
      <c r="G36" s="66" t="s">
        <v>775</v>
      </c>
      <c r="H36" s="22"/>
      <c r="I36" s="17" t="s">
        <v>44</v>
      </c>
      <c r="J36" s="17" t="s">
        <v>3064</v>
      </c>
      <c r="K36" s="22"/>
      <c r="L36" s="22"/>
      <c r="M36" s="22"/>
      <c r="N36" s="22"/>
      <c r="O36" s="22"/>
      <c r="P36" s="22"/>
      <c r="Q36" s="22"/>
      <c r="R36" s="22"/>
      <c r="S36" s="22"/>
      <c r="T36" s="22"/>
      <c r="U36" s="22"/>
      <c r="V36" s="22"/>
      <c r="W36" s="22"/>
      <c r="X36" s="22"/>
      <c r="Y36" s="22"/>
      <c r="Z36" s="22"/>
      <c r="AA36" s="22"/>
      <c r="AB36" s="22"/>
      <c r="AC36" s="22"/>
      <c r="AD36" s="22"/>
      <c r="AE36" s="22"/>
    </row>
    <row r="37">
      <c r="A37" s="17" t="s">
        <v>722</v>
      </c>
      <c r="B37" s="167" t="str">
        <f>IF(ISBLANK(A37),"",VLOOKUP(A37,DOI_URL!$B$1:$C$74,2,FALSE()))</f>
        <v>https://drive.google.com/file/d/1l7zORouaPHPaymAPFvkEtL2_Mqu3aoMm/view?usp=sharing</v>
      </c>
      <c r="C37" s="17" t="s">
        <v>3311</v>
      </c>
      <c r="D37" s="17" t="s">
        <v>3311</v>
      </c>
      <c r="E37" s="17" t="s">
        <v>774</v>
      </c>
      <c r="F37" s="17" t="s">
        <v>2595</v>
      </c>
      <c r="G37" s="17" t="s">
        <v>2596</v>
      </c>
      <c r="H37" s="17" t="s">
        <v>2597</v>
      </c>
      <c r="I37" s="17" t="s">
        <v>91</v>
      </c>
      <c r="J37" s="17" t="s">
        <v>3064</v>
      </c>
      <c r="K37" s="22"/>
      <c r="L37" s="22"/>
      <c r="M37" s="22"/>
      <c r="N37" s="22"/>
      <c r="O37" s="22"/>
      <c r="P37" s="22"/>
      <c r="Q37" s="22"/>
      <c r="R37" s="22"/>
      <c r="S37" s="22"/>
      <c r="T37" s="22"/>
      <c r="U37" s="22"/>
      <c r="V37" s="22"/>
      <c r="W37" s="22"/>
      <c r="X37" s="22"/>
      <c r="Y37" s="22"/>
      <c r="Z37" s="22"/>
      <c r="AA37" s="22"/>
      <c r="AB37" s="22"/>
      <c r="AC37" s="22"/>
      <c r="AD37" s="22"/>
      <c r="AE37" s="22"/>
    </row>
    <row r="38">
      <c r="A38" s="17" t="s">
        <v>722</v>
      </c>
      <c r="B38" s="167" t="str">
        <f>IF(ISBLANK(A38),"",VLOOKUP(A38,DOI_URL!$B$1:$C$74,2,FALSE()))</f>
        <v>https://drive.google.com/file/d/1l7zORouaPHPaymAPFvkEtL2_Mqu3aoMm/view?usp=sharing</v>
      </c>
      <c r="C38" s="17" t="s">
        <v>3311</v>
      </c>
      <c r="D38" s="17" t="s">
        <v>3311</v>
      </c>
      <c r="E38" s="17" t="s">
        <v>724</v>
      </c>
      <c r="F38" s="17" t="s">
        <v>760</v>
      </c>
      <c r="G38" s="17" t="s">
        <v>2599</v>
      </c>
      <c r="H38" s="17" t="s">
        <v>2600</v>
      </c>
      <c r="I38" s="17" t="s">
        <v>39</v>
      </c>
      <c r="J38" s="17" t="s">
        <v>3064</v>
      </c>
      <c r="K38" s="22"/>
      <c r="L38" s="22"/>
      <c r="M38" s="22"/>
      <c r="N38" s="22"/>
      <c r="O38" s="22"/>
      <c r="P38" s="22"/>
      <c r="Q38" s="22"/>
      <c r="R38" s="22"/>
      <c r="S38" s="22"/>
      <c r="T38" s="22"/>
      <c r="U38" s="22"/>
      <c r="V38" s="22"/>
      <c r="W38" s="22"/>
      <c r="X38" s="22"/>
      <c r="Y38" s="22"/>
      <c r="Z38" s="22"/>
      <c r="AA38" s="22"/>
      <c r="AB38" s="22"/>
      <c r="AC38" s="22"/>
      <c r="AD38" s="22"/>
      <c r="AE38" s="22"/>
    </row>
    <row r="39">
      <c r="A39" s="17" t="s">
        <v>722</v>
      </c>
      <c r="B39" s="167" t="str">
        <f>IF(ISBLANK(A39),"",VLOOKUP(A39,DOI_URL!$B$1:$C$74,2,FALSE()))</f>
        <v>https://drive.google.com/file/d/1l7zORouaPHPaymAPFvkEtL2_Mqu3aoMm/view?usp=sharing</v>
      </c>
      <c r="C39" s="17" t="s">
        <v>3311</v>
      </c>
      <c r="D39" s="17" t="s">
        <v>3311</v>
      </c>
      <c r="E39" s="17" t="s">
        <v>730</v>
      </c>
      <c r="F39" s="17" t="s">
        <v>2601</v>
      </c>
      <c r="G39" s="17" t="s">
        <v>2602</v>
      </c>
      <c r="H39" s="17" t="s">
        <v>2603</v>
      </c>
      <c r="I39" s="17" t="s">
        <v>91</v>
      </c>
      <c r="J39" s="17" t="s">
        <v>3064</v>
      </c>
      <c r="K39" s="22"/>
      <c r="L39" s="22"/>
      <c r="M39" s="22"/>
      <c r="N39" s="22"/>
      <c r="O39" s="22"/>
      <c r="P39" s="22"/>
      <c r="Q39" s="22"/>
      <c r="R39" s="22"/>
      <c r="S39" s="22"/>
      <c r="T39" s="22"/>
      <c r="U39" s="22"/>
      <c r="V39" s="22"/>
      <c r="W39" s="22"/>
      <c r="X39" s="22"/>
      <c r="Y39" s="22"/>
      <c r="Z39" s="22"/>
      <c r="AA39" s="22"/>
      <c r="AB39" s="22"/>
      <c r="AC39" s="22"/>
      <c r="AD39" s="22"/>
      <c r="AE39" s="22"/>
    </row>
    <row r="40">
      <c r="A40" s="17" t="s">
        <v>722</v>
      </c>
      <c r="B40" s="167" t="str">
        <f>IF(ISBLANK(A40),"",VLOOKUP(A40,DOI_URL!$B$1:$C$74,2,FALSE()))</f>
        <v>https://drive.google.com/file/d/1l7zORouaPHPaymAPFvkEtL2_Mqu3aoMm/view?usp=sharing</v>
      </c>
      <c r="C40" s="17" t="s">
        <v>3311</v>
      </c>
      <c r="D40" s="17" t="s">
        <v>3311</v>
      </c>
      <c r="E40" s="17" t="s">
        <v>730</v>
      </c>
      <c r="F40" s="17" t="s">
        <v>760</v>
      </c>
      <c r="G40" s="17" t="s">
        <v>2604</v>
      </c>
      <c r="H40" s="17" t="s">
        <v>2603</v>
      </c>
      <c r="I40" s="17" t="s">
        <v>39</v>
      </c>
      <c r="J40" s="17" t="s">
        <v>3064</v>
      </c>
      <c r="K40" s="22"/>
      <c r="L40" s="22"/>
      <c r="M40" s="22"/>
      <c r="N40" s="22"/>
      <c r="O40" s="22"/>
      <c r="P40" s="22"/>
      <c r="Q40" s="22"/>
      <c r="R40" s="22"/>
      <c r="S40" s="22"/>
      <c r="T40" s="22"/>
      <c r="U40" s="22"/>
      <c r="V40" s="22"/>
      <c r="W40" s="22"/>
      <c r="X40" s="22"/>
      <c r="Y40" s="22"/>
      <c r="Z40" s="22"/>
      <c r="AA40" s="22"/>
      <c r="AB40" s="22"/>
      <c r="AC40" s="22"/>
      <c r="AD40" s="22"/>
      <c r="AE40" s="22"/>
    </row>
    <row r="41">
      <c r="A41" s="17" t="s">
        <v>722</v>
      </c>
      <c r="B41" s="167" t="str">
        <f>IF(ISBLANK(A41),"",VLOOKUP(A41,DOI_URL!$B$1:$C$74,2,FALSE()))</f>
        <v>https://drive.google.com/file/d/1l7zORouaPHPaymAPFvkEtL2_Mqu3aoMm/view?usp=sharing</v>
      </c>
      <c r="C41" s="17" t="s">
        <v>3311</v>
      </c>
      <c r="D41" s="17" t="s">
        <v>3311</v>
      </c>
      <c r="E41" s="17" t="s">
        <v>730</v>
      </c>
      <c r="F41" s="17" t="s">
        <v>760</v>
      </c>
      <c r="G41" s="17" t="s">
        <v>2580</v>
      </c>
      <c r="H41" s="17" t="s">
        <v>2603</v>
      </c>
      <c r="I41" s="17" t="s">
        <v>39</v>
      </c>
      <c r="J41" s="17" t="s">
        <v>3064</v>
      </c>
      <c r="K41" s="22"/>
      <c r="L41" s="22"/>
      <c r="M41" s="22"/>
      <c r="N41" s="22"/>
      <c r="O41" s="22"/>
      <c r="P41" s="22"/>
      <c r="Q41" s="22"/>
      <c r="R41" s="22"/>
      <c r="S41" s="22"/>
      <c r="T41" s="22"/>
      <c r="U41" s="22"/>
      <c r="V41" s="22"/>
      <c r="W41" s="22"/>
      <c r="X41" s="22"/>
      <c r="Y41" s="22"/>
      <c r="Z41" s="22"/>
      <c r="AA41" s="22"/>
      <c r="AB41" s="22"/>
      <c r="AC41" s="22"/>
      <c r="AD41" s="22"/>
      <c r="AE41" s="22"/>
    </row>
    <row r="42">
      <c r="A42" s="17" t="s">
        <v>722</v>
      </c>
      <c r="B42" s="167" t="str">
        <f>IF(ISBLANK(A42),"",VLOOKUP(A42,DOI_URL!$B$1:$C$74,2,FALSE()))</f>
        <v>https://drive.google.com/file/d/1l7zORouaPHPaymAPFvkEtL2_Mqu3aoMm/view?usp=sharing</v>
      </c>
      <c r="C42" s="17" t="s">
        <v>3311</v>
      </c>
      <c r="D42" s="17" t="s">
        <v>3311</v>
      </c>
      <c r="E42" s="17" t="s">
        <v>730</v>
      </c>
      <c r="F42" s="17" t="s">
        <v>777</v>
      </c>
      <c r="G42" s="17" t="s">
        <v>2606</v>
      </c>
      <c r="H42" s="17" t="s">
        <v>786</v>
      </c>
      <c r="I42" s="17" t="s">
        <v>91</v>
      </c>
      <c r="J42" s="17" t="s">
        <v>3064</v>
      </c>
      <c r="K42" s="22"/>
      <c r="L42" s="22"/>
      <c r="M42" s="22"/>
      <c r="N42" s="22"/>
      <c r="O42" s="22"/>
      <c r="P42" s="22"/>
      <c r="Q42" s="22"/>
      <c r="R42" s="22"/>
      <c r="S42" s="22"/>
      <c r="T42" s="22"/>
      <c r="U42" s="22"/>
      <c r="V42" s="22"/>
      <c r="W42" s="22"/>
      <c r="X42" s="22"/>
      <c r="Y42" s="22"/>
      <c r="Z42" s="22"/>
      <c r="AA42" s="22"/>
      <c r="AB42" s="22"/>
      <c r="AC42" s="22"/>
      <c r="AD42" s="22"/>
      <c r="AE42" s="22"/>
    </row>
    <row r="43">
      <c r="A43" s="17" t="s">
        <v>722</v>
      </c>
      <c r="B43" s="167" t="str">
        <f>IF(ISBLANK(A43),"",VLOOKUP(A43,DOI_URL!$B$1:$C$74,2,FALSE()))</f>
        <v>https://drive.google.com/file/d/1l7zORouaPHPaymAPFvkEtL2_Mqu3aoMm/view?usp=sharing</v>
      </c>
      <c r="C43" s="17" t="s">
        <v>3311</v>
      </c>
      <c r="D43" s="17" t="s">
        <v>3311</v>
      </c>
      <c r="E43" s="17" t="s">
        <v>730</v>
      </c>
      <c r="F43" s="17" t="s">
        <v>777</v>
      </c>
      <c r="G43" s="17" t="s">
        <v>778</v>
      </c>
      <c r="H43" s="17" t="s">
        <v>786</v>
      </c>
      <c r="I43" s="17" t="s">
        <v>91</v>
      </c>
      <c r="J43" s="17" t="s">
        <v>3064</v>
      </c>
      <c r="K43" s="22"/>
      <c r="L43" s="22"/>
      <c r="M43" s="22"/>
      <c r="N43" s="22"/>
      <c r="O43" s="22"/>
      <c r="P43" s="22"/>
      <c r="Q43" s="22"/>
      <c r="R43" s="22"/>
      <c r="S43" s="22"/>
      <c r="T43" s="22"/>
      <c r="U43" s="22"/>
      <c r="V43" s="22"/>
      <c r="W43" s="22"/>
      <c r="X43" s="22"/>
      <c r="Y43" s="22"/>
      <c r="Z43" s="22"/>
      <c r="AA43" s="22"/>
      <c r="AB43" s="22"/>
      <c r="AC43" s="22"/>
      <c r="AD43" s="22"/>
      <c r="AE43" s="22"/>
    </row>
    <row r="44">
      <c r="A44" s="17" t="s">
        <v>722</v>
      </c>
      <c r="B44" s="167" t="str">
        <f>IF(ISBLANK(A44),"",VLOOKUP(A44,DOI_URL!$B$1:$C$74,2,FALSE()))</f>
        <v>https://drive.google.com/file/d/1l7zORouaPHPaymAPFvkEtL2_Mqu3aoMm/view?usp=sharing</v>
      </c>
      <c r="C44" s="17" t="s">
        <v>3311</v>
      </c>
      <c r="D44" s="17" t="s">
        <v>3311</v>
      </c>
      <c r="E44" s="17" t="s">
        <v>730</v>
      </c>
      <c r="F44" s="17" t="s">
        <v>781</v>
      </c>
      <c r="G44" s="17" t="s">
        <v>782</v>
      </c>
      <c r="H44" s="17" t="s">
        <v>786</v>
      </c>
      <c r="I44" s="17" t="s">
        <v>91</v>
      </c>
      <c r="J44" s="17" t="s">
        <v>3064</v>
      </c>
      <c r="K44" s="22"/>
      <c r="L44" s="22"/>
      <c r="M44" s="22"/>
      <c r="N44" s="22"/>
      <c r="O44" s="22"/>
      <c r="P44" s="22"/>
      <c r="Q44" s="22"/>
      <c r="R44" s="22"/>
      <c r="S44" s="22"/>
      <c r="T44" s="22"/>
      <c r="U44" s="22"/>
      <c r="V44" s="22"/>
      <c r="W44" s="22"/>
      <c r="X44" s="22"/>
      <c r="Y44" s="22"/>
      <c r="Z44" s="22"/>
      <c r="AA44" s="22"/>
      <c r="AB44" s="22"/>
      <c r="AC44" s="22"/>
      <c r="AD44" s="22"/>
      <c r="AE44" s="22"/>
    </row>
    <row r="45">
      <c r="A45" s="17" t="s">
        <v>722</v>
      </c>
      <c r="B45" s="167" t="str">
        <f>IF(ISBLANK(A45),"",VLOOKUP(A45,DOI_URL!$B$1:$C$74,2,FALSE()))</f>
        <v>https://drive.google.com/file/d/1l7zORouaPHPaymAPFvkEtL2_Mqu3aoMm/view?usp=sharing</v>
      </c>
      <c r="C45" s="17" t="s">
        <v>3311</v>
      </c>
      <c r="D45" s="17" t="s">
        <v>3311</v>
      </c>
      <c r="E45" s="17" t="s">
        <v>730</v>
      </c>
      <c r="F45" s="17" t="s">
        <v>781</v>
      </c>
      <c r="G45" s="17" t="s">
        <v>785</v>
      </c>
      <c r="H45" s="17" t="s">
        <v>786</v>
      </c>
      <c r="I45" s="17" t="s">
        <v>91</v>
      </c>
      <c r="J45" s="17" t="s">
        <v>3064</v>
      </c>
      <c r="K45" s="22"/>
      <c r="L45" s="22"/>
      <c r="M45" s="22"/>
      <c r="N45" s="22"/>
      <c r="O45" s="22"/>
      <c r="P45" s="22"/>
      <c r="Q45" s="22"/>
      <c r="R45" s="22"/>
      <c r="S45" s="22"/>
      <c r="T45" s="22"/>
      <c r="U45" s="22"/>
      <c r="V45" s="22"/>
      <c r="W45" s="22"/>
      <c r="X45" s="22"/>
      <c r="Y45" s="22"/>
      <c r="Z45" s="22"/>
      <c r="AA45" s="22"/>
      <c r="AB45" s="22"/>
      <c r="AC45" s="22"/>
      <c r="AD45" s="22"/>
      <c r="AE45" s="22"/>
    </row>
    <row r="46">
      <c r="A46" s="17" t="s">
        <v>722</v>
      </c>
      <c r="B46" s="167" t="str">
        <f>IF(ISBLANK(A46),"",VLOOKUP(A46,DOI_URL!$B$1:$C$74,2,FALSE()))</f>
        <v>https://drive.google.com/file/d/1l7zORouaPHPaymAPFvkEtL2_Mqu3aoMm/view?usp=sharing</v>
      </c>
      <c r="C46" s="17" t="s">
        <v>3311</v>
      </c>
      <c r="D46" s="17" t="s">
        <v>3311</v>
      </c>
      <c r="E46" s="17" t="s">
        <v>730</v>
      </c>
      <c r="F46" s="17" t="s">
        <v>788</v>
      </c>
      <c r="G46" s="17" t="s">
        <v>789</v>
      </c>
      <c r="H46" s="17" t="s">
        <v>2607</v>
      </c>
      <c r="I46" s="17" t="s">
        <v>39</v>
      </c>
      <c r="J46" s="17" t="s">
        <v>3064</v>
      </c>
      <c r="K46" s="22"/>
      <c r="L46" s="22"/>
      <c r="M46" s="22"/>
      <c r="N46" s="22"/>
      <c r="O46" s="22"/>
      <c r="P46" s="22"/>
      <c r="Q46" s="22"/>
      <c r="R46" s="22"/>
      <c r="S46" s="22"/>
      <c r="T46" s="22"/>
      <c r="U46" s="22"/>
      <c r="V46" s="22"/>
      <c r="W46" s="22"/>
      <c r="X46" s="22"/>
      <c r="Y46" s="22"/>
      <c r="Z46" s="22"/>
      <c r="AA46" s="22"/>
      <c r="AB46" s="22"/>
      <c r="AC46" s="22"/>
      <c r="AD46" s="22"/>
      <c r="AE46" s="22"/>
    </row>
    <row r="47">
      <c r="A47" s="17" t="s">
        <v>722</v>
      </c>
      <c r="B47" s="167" t="str">
        <f>IF(ISBLANK(A47),"",VLOOKUP(A47,DOI_URL!$B$1:$C$74,2,FALSE()))</f>
        <v>https://drive.google.com/file/d/1l7zORouaPHPaymAPFvkEtL2_Mqu3aoMm/view?usp=sharing</v>
      </c>
      <c r="C47" s="17" t="s">
        <v>3311</v>
      </c>
      <c r="D47" s="17" t="s">
        <v>3311</v>
      </c>
      <c r="E47" s="17" t="s">
        <v>734</v>
      </c>
      <c r="F47" s="17" t="s">
        <v>2611</v>
      </c>
      <c r="G47" s="17" t="s">
        <v>2608</v>
      </c>
      <c r="H47" s="17" t="s">
        <v>2612</v>
      </c>
      <c r="I47" s="17" t="s">
        <v>39</v>
      </c>
      <c r="J47" s="17" t="s">
        <v>3064</v>
      </c>
      <c r="K47" s="22"/>
      <c r="L47" s="22"/>
      <c r="M47" s="22"/>
      <c r="N47" s="22"/>
      <c r="O47" s="22"/>
      <c r="P47" s="22"/>
      <c r="Q47" s="22"/>
      <c r="R47" s="22"/>
      <c r="S47" s="22"/>
      <c r="T47" s="22"/>
      <c r="U47" s="22"/>
      <c r="V47" s="22"/>
      <c r="W47" s="22"/>
      <c r="X47" s="22"/>
      <c r="Y47" s="22"/>
      <c r="Z47" s="22"/>
      <c r="AA47" s="22"/>
      <c r="AB47" s="22"/>
      <c r="AC47" s="22"/>
      <c r="AD47" s="22"/>
      <c r="AE47" s="22"/>
    </row>
    <row r="48">
      <c r="A48" s="17" t="s">
        <v>722</v>
      </c>
      <c r="B48" s="167" t="str">
        <f>IF(ISBLANK(A48),"",VLOOKUP(A48,DOI_URL!$B$1:$C$74,2,FALSE()))</f>
        <v>https://drive.google.com/file/d/1l7zORouaPHPaymAPFvkEtL2_Mqu3aoMm/view?usp=sharing</v>
      </c>
      <c r="C48" s="17" t="s">
        <v>3311</v>
      </c>
      <c r="D48" s="17" t="s">
        <v>3311</v>
      </c>
      <c r="E48" s="17" t="s">
        <v>734</v>
      </c>
      <c r="F48" s="17" t="s">
        <v>2608</v>
      </c>
      <c r="G48" s="17" t="s">
        <v>793</v>
      </c>
      <c r="H48" s="17" t="s">
        <v>2609</v>
      </c>
      <c r="I48" s="17" t="s">
        <v>91</v>
      </c>
      <c r="J48" s="17" t="s">
        <v>3064</v>
      </c>
      <c r="K48" s="22"/>
      <c r="L48" s="22"/>
      <c r="M48" s="22"/>
      <c r="N48" s="22"/>
      <c r="O48" s="22"/>
      <c r="P48" s="22"/>
      <c r="Q48" s="22"/>
      <c r="R48" s="22"/>
      <c r="S48" s="22"/>
      <c r="T48" s="22"/>
      <c r="U48" s="22"/>
      <c r="V48" s="22"/>
      <c r="W48" s="22"/>
      <c r="X48" s="22"/>
      <c r="Y48" s="22"/>
      <c r="Z48" s="22"/>
      <c r="AA48" s="22"/>
      <c r="AB48" s="22"/>
      <c r="AC48" s="22"/>
      <c r="AD48" s="22"/>
      <c r="AE48" s="22"/>
    </row>
    <row r="49">
      <c r="A49" s="17" t="s">
        <v>722</v>
      </c>
      <c r="B49" s="167" t="str">
        <f>IF(ISBLANK(A49),"",VLOOKUP(A49,DOI_URL!$B$1:$C$74,2,FALSE()))</f>
        <v>https://drive.google.com/file/d/1l7zORouaPHPaymAPFvkEtL2_Mqu3aoMm/view?usp=sharing</v>
      </c>
      <c r="C49" s="17" t="s">
        <v>3311</v>
      </c>
      <c r="D49" s="17" t="s">
        <v>3311</v>
      </c>
      <c r="E49" s="17" t="s">
        <v>738</v>
      </c>
      <c r="F49" s="17" t="s">
        <v>796</v>
      </c>
      <c r="G49" s="17" t="s">
        <v>2613</v>
      </c>
      <c r="H49" s="17" t="s">
        <v>2614</v>
      </c>
      <c r="I49" s="17" t="s">
        <v>39</v>
      </c>
      <c r="J49" s="17" t="s">
        <v>3064</v>
      </c>
      <c r="K49" s="22"/>
      <c r="L49" s="22"/>
      <c r="M49" s="22"/>
      <c r="N49" s="22"/>
      <c r="O49" s="22"/>
      <c r="P49" s="22"/>
      <c r="Q49" s="22"/>
      <c r="R49" s="22"/>
      <c r="S49" s="22"/>
      <c r="T49" s="22"/>
      <c r="U49" s="22"/>
      <c r="V49" s="22"/>
      <c r="W49" s="22"/>
      <c r="X49" s="22"/>
      <c r="Y49" s="22"/>
      <c r="Z49" s="22"/>
      <c r="AA49" s="22"/>
      <c r="AB49" s="22"/>
      <c r="AC49" s="22"/>
      <c r="AD49" s="22"/>
      <c r="AE49" s="22"/>
    </row>
    <row r="50">
      <c r="A50" s="17" t="s">
        <v>722</v>
      </c>
      <c r="B50" s="167" t="str">
        <f>IF(ISBLANK(A50),"",VLOOKUP(A50,DOI_URL!$B$1:$C$74,2,FALSE()))</f>
        <v>https://drive.google.com/file/d/1l7zORouaPHPaymAPFvkEtL2_Mqu3aoMm/view?usp=sharing</v>
      </c>
      <c r="C50" s="17" t="s">
        <v>3311</v>
      </c>
      <c r="D50" s="17" t="s">
        <v>3311</v>
      </c>
      <c r="E50" s="17" t="s">
        <v>738</v>
      </c>
      <c r="F50" s="17" t="s">
        <v>796</v>
      </c>
      <c r="G50" s="17" t="s">
        <v>2615</v>
      </c>
      <c r="H50" s="17" t="s">
        <v>2610</v>
      </c>
      <c r="I50" s="17" t="s">
        <v>39</v>
      </c>
      <c r="J50" s="17" t="s">
        <v>3064</v>
      </c>
      <c r="K50" s="22"/>
      <c r="L50" s="22"/>
      <c r="M50" s="22"/>
      <c r="N50" s="22"/>
      <c r="O50" s="22"/>
      <c r="P50" s="22"/>
      <c r="Q50" s="22"/>
      <c r="R50" s="22"/>
      <c r="S50" s="22"/>
      <c r="T50" s="22"/>
      <c r="U50" s="22"/>
      <c r="V50" s="22"/>
      <c r="W50" s="22"/>
      <c r="X50" s="22"/>
      <c r="Y50" s="22"/>
      <c r="Z50" s="22"/>
      <c r="AA50" s="22"/>
      <c r="AB50" s="22"/>
      <c r="AC50" s="22"/>
      <c r="AD50" s="22"/>
      <c r="AE50" s="22"/>
    </row>
    <row r="51">
      <c r="A51" s="17" t="s">
        <v>722</v>
      </c>
      <c r="B51" s="167" t="str">
        <f>IF(ISBLANK(A51),"",VLOOKUP(A51,DOI_URL!$B$1:$C$74,2,FALSE()))</f>
        <v>https://drive.google.com/file/d/1l7zORouaPHPaymAPFvkEtL2_Mqu3aoMm/view?usp=sharing</v>
      </c>
      <c r="C51" s="17" t="s">
        <v>3311</v>
      </c>
      <c r="D51" s="17" t="s">
        <v>3311</v>
      </c>
      <c r="E51" s="17" t="s">
        <v>2616</v>
      </c>
      <c r="F51" s="17" t="s">
        <v>760</v>
      </c>
      <c r="G51" s="17" t="s">
        <v>2617</v>
      </c>
      <c r="H51" s="17" t="s">
        <v>750</v>
      </c>
      <c r="I51" s="17" t="s">
        <v>39</v>
      </c>
      <c r="J51" s="17" t="s">
        <v>3064</v>
      </c>
      <c r="K51" s="22"/>
      <c r="L51" s="22"/>
      <c r="M51" s="22"/>
      <c r="N51" s="22"/>
      <c r="O51" s="22"/>
      <c r="P51" s="22"/>
      <c r="Q51" s="22"/>
      <c r="R51" s="22"/>
      <c r="S51" s="22"/>
      <c r="T51" s="22"/>
      <c r="U51" s="22"/>
      <c r="V51" s="22"/>
      <c r="W51" s="22"/>
      <c r="X51" s="22"/>
      <c r="Y51" s="22"/>
      <c r="Z51" s="22"/>
      <c r="AA51" s="22"/>
      <c r="AB51" s="22"/>
      <c r="AC51" s="22"/>
      <c r="AD51" s="22"/>
      <c r="AE51" s="22"/>
    </row>
    <row r="52">
      <c r="A52" s="17" t="s">
        <v>722</v>
      </c>
      <c r="B52" s="167" t="str">
        <f>IF(ISBLANK(A52),"",VLOOKUP(A52,DOI_URL!$B$1:$C$74,2,FALSE()))</f>
        <v>https://drive.google.com/file/d/1l7zORouaPHPaymAPFvkEtL2_Mqu3aoMm/view?usp=sharing</v>
      </c>
      <c r="C52" s="17" t="s">
        <v>3311</v>
      </c>
      <c r="D52" s="17" t="s">
        <v>3311</v>
      </c>
      <c r="E52" s="17" t="s">
        <v>2616</v>
      </c>
      <c r="F52" s="17" t="s">
        <v>760</v>
      </c>
      <c r="G52" s="17" t="s">
        <v>752</v>
      </c>
      <c r="H52" s="17" t="s">
        <v>2590</v>
      </c>
      <c r="I52" s="17" t="s">
        <v>39</v>
      </c>
      <c r="J52" s="17" t="s">
        <v>3064</v>
      </c>
      <c r="K52" s="22"/>
      <c r="L52" s="22"/>
      <c r="M52" s="22"/>
      <c r="N52" s="22"/>
      <c r="O52" s="22"/>
      <c r="P52" s="22"/>
      <c r="Q52" s="22"/>
      <c r="R52" s="22"/>
      <c r="S52" s="22"/>
      <c r="T52" s="22"/>
      <c r="U52" s="22"/>
      <c r="V52" s="22"/>
      <c r="W52" s="22"/>
      <c r="X52" s="22"/>
      <c r="Y52" s="22"/>
      <c r="Z52" s="22"/>
      <c r="AA52" s="22"/>
      <c r="AB52" s="22"/>
      <c r="AC52" s="22"/>
      <c r="AD52" s="22"/>
      <c r="AE52" s="22"/>
    </row>
    <row r="53">
      <c r="A53" s="17" t="s">
        <v>722</v>
      </c>
      <c r="B53" s="167" t="str">
        <f>IF(ISBLANK(A53),"",VLOOKUP(A53,DOI_URL!$B$1:$C$74,2,FALSE()))</f>
        <v>https://drive.google.com/file/d/1l7zORouaPHPaymAPFvkEtL2_Mqu3aoMm/view?usp=sharing</v>
      </c>
      <c r="C53" s="17" t="s">
        <v>3311</v>
      </c>
      <c r="D53" s="17" t="s">
        <v>3311</v>
      </c>
      <c r="E53" s="17" t="s">
        <v>759</v>
      </c>
      <c r="F53" s="17" t="s">
        <v>760</v>
      </c>
      <c r="G53" s="17" t="s">
        <v>761</v>
      </c>
      <c r="H53" s="17" t="s">
        <v>2593</v>
      </c>
      <c r="I53" s="17" t="s">
        <v>39</v>
      </c>
      <c r="J53" s="17" t="s">
        <v>3064</v>
      </c>
      <c r="K53" s="22"/>
      <c r="L53" s="22"/>
      <c r="M53" s="22"/>
      <c r="N53" s="22"/>
      <c r="O53" s="22"/>
      <c r="P53" s="22"/>
      <c r="Q53" s="22"/>
      <c r="R53" s="22"/>
      <c r="S53" s="22"/>
      <c r="T53" s="22"/>
      <c r="U53" s="22"/>
      <c r="V53" s="22"/>
      <c r="W53" s="22"/>
      <c r="X53" s="22"/>
      <c r="Y53" s="22"/>
      <c r="Z53" s="22"/>
      <c r="AA53" s="22"/>
      <c r="AB53" s="22"/>
      <c r="AC53" s="22"/>
      <c r="AD53" s="22"/>
      <c r="AE53" s="22"/>
    </row>
    <row r="54">
      <c r="A54" s="17" t="s">
        <v>64</v>
      </c>
      <c r="B54" s="167" t="str">
        <f>IF(ISBLANK(A54),"",VLOOKUP(A54,DOI_URL!$B$1:$C$74,2,FALSE()))</f>
        <v>https://drive.google.com/file/d/108selP15cGxfsgDTiz8MuvWHVM-GJYA5/view?usp=sharing</v>
      </c>
      <c r="C54" s="17" t="s">
        <v>3311</v>
      </c>
      <c r="D54" s="17" t="s">
        <v>3311</v>
      </c>
      <c r="E54" s="17" t="s">
        <v>65</v>
      </c>
      <c r="F54" s="17" t="s">
        <v>66</v>
      </c>
      <c r="G54" s="17" t="s">
        <v>2258</v>
      </c>
      <c r="H54" s="17" t="s">
        <v>68</v>
      </c>
      <c r="I54" s="17" t="s">
        <v>14</v>
      </c>
      <c r="J54" s="17" t="s">
        <v>69</v>
      </c>
      <c r="K54" s="22"/>
      <c r="L54" s="22"/>
      <c r="M54" s="22"/>
      <c r="N54" s="22"/>
      <c r="O54" s="22"/>
      <c r="P54" s="22"/>
      <c r="Q54" s="22"/>
      <c r="R54" s="22"/>
      <c r="S54" s="22"/>
      <c r="T54" s="22"/>
      <c r="U54" s="22"/>
      <c r="V54" s="22"/>
      <c r="W54" s="22"/>
      <c r="X54" s="22"/>
      <c r="Y54" s="22"/>
      <c r="Z54" s="22"/>
      <c r="AA54" s="22"/>
      <c r="AB54" s="22"/>
      <c r="AC54" s="22"/>
      <c r="AD54" s="22"/>
      <c r="AE54" s="22"/>
    </row>
    <row r="55">
      <c r="A55" s="17" t="s">
        <v>64</v>
      </c>
      <c r="B55" s="167" t="str">
        <f>IF(ISBLANK(A55),"",VLOOKUP(A55,DOI_URL!$B$1:$C$74,2,FALSE()))</f>
        <v>https://drive.google.com/file/d/108selP15cGxfsgDTiz8MuvWHVM-GJYA5/view?usp=sharing</v>
      </c>
      <c r="C55" s="17" t="s">
        <v>3311</v>
      </c>
      <c r="D55" s="17" t="s">
        <v>3311</v>
      </c>
      <c r="E55" s="17" t="s">
        <v>65</v>
      </c>
      <c r="F55" s="17" t="s">
        <v>33</v>
      </c>
      <c r="G55" s="17" t="s">
        <v>70</v>
      </c>
      <c r="H55" s="17" t="s">
        <v>33</v>
      </c>
      <c r="I55" s="17" t="s">
        <v>91</v>
      </c>
      <c r="J55" s="17" t="s">
        <v>69</v>
      </c>
      <c r="K55" s="22"/>
      <c r="L55" s="22"/>
      <c r="M55" s="22"/>
      <c r="N55" s="22"/>
      <c r="O55" s="22"/>
      <c r="P55" s="22"/>
      <c r="Q55" s="22"/>
      <c r="R55" s="22"/>
      <c r="S55" s="22"/>
      <c r="T55" s="22"/>
      <c r="U55" s="22"/>
      <c r="V55" s="22"/>
      <c r="W55" s="22"/>
      <c r="X55" s="22"/>
      <c r="Y55" s="22"/>
      <c r="Z55" s="22"/>
      <c r="AA55" s="22"/>
      <c r="AB55" s="22"/>
      <c r="AC55" s="22"/>
      <c r="AD55" s="22"/>
      <c r="AE55" s="22"/>
    </row>
    <row r="56">
      <c r="A56" s="17" t="s">
        <v>64</v>
      </c>
      <c r="B56" s="167" t="str">
        <f>IF(ISBLANK(A56),"",VLOOKUP(A56,DOI_URL!$B$1:$C$74,2,FALSE()))</f>
        <v>https://drive.google.com/file/d/108selP15cGxfsgDTiz8MuvWHVM-GJYA5/view?usp=sharing</v>
      </c>
      <c r="C56" s="17" t="s">
        <v>3311</v>
      </c>
      <c r="D56" s="17" t="s">
        <v>3311</v>
      </c>
      <c r="E56" s="17" t="s">
        <v>65</v>
      </c>
      <c r="F56" s="35" t="s">
        <v>66</v>
      </c>
      <c r="G56" s="17" t="s">
        <v>72</v>
      </c>
      <c r="H56" s="17" t="s">
        <v>73</v>
      </c>
      <c r="I56" s="17" t="s">
        <v>91</v>
      </c>
      <c r="J56" s="17" t="s">
        <v>69</v>
      </c>
      <c r="K56" s="22"/>
      <c r="L56" s="22"/>
      <c r="M56" s="22"/>
      <c r="N56" s="22"/>
      <c r="O56" s="22"/>
      <c r="P56" s="22"/>
      <c r="Q56" s="22"/>
      <c r="R56" s="22"/>
      <c r="S56" s="22"/>
      <c r="T56" s="22"/>
      <c r="U56" s="22"/>
      <c r="V56" s="22"/>
      <c r="W56" s="22"/>
      <c r="X56" s="22"/>
      <c r="Y56" s="22"/>
      <c r="Z56" s="22"/>
      <c r="AA56" s="22"/>
      <c r="AB56" s="22"/>
      <c r="AC56" s="22"/>
      <c r="AD56" s="22"/>
      <c r="AE56" s="22"/>
    </row>
    <row r="57">
      <c r="A57" s="17" t="s">
        <v>64</v>
      </c>
      <c r="B57" s="167" t="str">
        <f>IF(ISBLANK(A57),"",VLOOKUP(A57,DOI_URL!$B$1:$C$74,2,FALSE()))</f>
        <v>https://drive.google.com/file/d/108selP15cGxfsgDTiz8MuvWHVM-GJYA5/view?usp=sharing</v>
      </c>
      <c r="C57" s="17" t="s">
        <v>3311</v>
      </c>
      <c r="D57" s="17" t="s">
        <v>3311</v>
      </c>
      <c r="E57" s="17" t="s">
        <v>75</v>
      </c>
      <c r="F57" s="17" t="s">
        <v>76</v>
      </c>
      <c r="G57" s="17" t="s">
        <v>77</v>
      </c>
      <c r="H57" s="17" t="s">
        <v>78</v>
      </c>
      <c r="I57" s="17" t="s">
        <v>14</v>
      </c>
      <c r="J57" s="17" t="s">
        <v>69</v>
      </c>
      <c r="K57" s="22"/>
      <c r="L57" s="22"/>
      <c r="M57" s="22"/>
      <c r="N57" s="22"/>
      <c r="O57" s="22"/>
      <c r="P57" s="22"/>
      <c r="Q57" s="22"/>
      <c r="R57" s="22"/>
      <c r="S57" s="22"/>
      <c r="T57" s="22"/>
      <c r="U57" s="22"/>
      <c r="V57" s="22"/>
      <c r="W57" s="22"/>
      <c r="X57" s="22"/>
      <c r="Y57" s="22"/>
      <c r="Z57" s="22"/>
      <c r="AA57" s="22"/>
      <c r="AB57" s="22"/>
      <c r="AC57" s="22"/>
      <c r="AD57" s="22"/>
      <c r="AE57" s="22"/>
    </row>
    <row r="58">
      <c r="A58" s="17" t="s">
        <v>64</v>
      </c>
      <c r="B58" s="167" t="str">
        <f>IF(ISBLANK(A58),"",VLOOKUP(A58,DOI_URL!$B$1:$C$74,2,FALSE()))</f>
        <v>https://drive.google.com/file/d/108selP15cGxfsgDTiz8MuvWHVM-GJYA5/view?usp=sharing</v>
      </c>
      <c r="C58" s="17" t="s">
        <v>3311</v>
      </c>
      <c r="D58" s="17" t="s">
        <v>3311</v>
      </c>
      <c r="E58" s="17" t="s">
        <v>75</v>
      </c>
      <c r="F58" s="17" t="s">
        <v>76</v>
      </c>
      <c r="G58" s="17" t="s">
        <v>80</v>
      </c>
      <c r="H58" s="17" t="s">
        <v>33</v>
      </c>
      <c r="I58" s="17" t="s">
        <v>14</v>
      </c>
      <c r="J58" s="17" t="s">
        <v>69</v>
      </c>
      <c r="K58" s="22"/>
      <c r="L58" s="22"/>
      <c r="M58" s="22"/>
      <c r="N58" s="22"/>
      <c r="O58" s="22"/>
      <c r="P58" s="22"/>
      <c r="Q58" s="22"/>
      <c r="R58" s="22"/>
      <c r="S58" s="22"/>
      <c r="T58" s="22"/>
      <c r="U58" s="22"/>
      <c r="V58" s="22"/>
      <c r="W58" s="22"/>
      <c r="X58" s="22"/>
      <c r="Y58" s="22"/>
      <c r="Z58" s="22"/>
      <c r="AA58" s="22"/>
      <c r="AB58" s="22"/>
      <c r="AC58" s="22"/>
      <c r="AD58" s="22"/>
      <c r="AE58" s="22"/>
    </row>
    <row r="59">
      <c r="A59" s="17" t="s">
        <v>64</v>
      </c>
      <c r="B59" s="167" t="str">
        <f>IF(ISBLANK(A59),"",VLOOKUP(A59,DOI_URL!$B$1:$C$74,2,FALSE()))</f>
        <v>https://drive.google.com/file/d/108selP15cGxfsgDTiz8MuvWHVM-GJYA5/view?usp=sharing</v>
      </c>
      <c r="C59" s="17" t="s">
        <v>3311</v>
      </c>
      <c r="D59" s="17" t="s">
        <v>3311</v>
      </c>
      <c r="E59" s="17" t="s">
        <v>75</v>
      </c>
      <c r="F59" s="17" t="s">
        <v>82</v>
      </c>
      <c r="G59" s="17" t="s">
        <v>83</v>
      </c>
      <c r="H59" s="17" t="s">
        <v>33</v>
      </c>
      <c r="I59" s="17" t="s">
        <v>14</v>
      </c>
      <c r="J59" s="17" t="s">
        <v>69</v>
      </c>
      <c r="K59" s="22"/>
      <c r="L59" s="22"/>
      <c r="M59" s="22"/>
      <c r="N59" s="22"/>
      <c r="O59" s="22"/>
      <c r="P59" s="22"/>
      <c r="Q59" s="22"/>
      <c r="R59" s="22"/>
      <c r="S59" s="22"/>
      <c r="T59" s="22"/>
      <c r="U59" s="22"/>
      <c r="V59" s="22"/>
      <c r="W59" s="22"/>
      <c r="X59" s="22"/>
      <c r="Y59" s="22"/>
      <c r="Z59" s="22"/>
      <c r="AA59" s="22"/>
      <c r="AB59" s="22"/>
      <c r="AC59" s="22"/>
      <c r="AD59" s="22"/>
      <c r="AE59" s="22"/>
    </row>
    <row r="60">
      <c r="A60" s="17" t="s">
        <v>64</v>
      </c>
      <c r="B60" s="167" t="str">
        <f>IF(ISBLANK(A60),"",VLOOKUP(A60,DOI_URL!$B$1:$C$74,2,FALSE()))</f>
        <v>https://drive.google.com/file/d/108selP15cGxfsgDTiz8MuvWHVM-GJYA5/view?usp=sharing</v>
      </c>
      <c r="C60" s="17" t="s">
        <v>3311</v>
      </c>
      <c r="D60" s="17" t="s">
        <v>3311</v>
      </c>
      <c r="E60" s="17" t="s">
        <v>75</v>
      </c>
      <c r="F60" s="17" t="s">
        <v>82</v>
      </c>
      <c r="G60" s="17" t="s">
        <v>84</v>
      </c>
      <c r="H60" s="17" t="s">
        <v>33</v>
      </c>
      <c r="I60" s="17" t="s">
        <v>14</v>
      </c>
      <c r="J60" s="17" t="s">
        <v>69</v>
      </c>
      <c r="K60" s="22"/>
      <c r="L60" s="22"/>
      <c r="M60" s="22"/>
      <c r="N60" s="22"/>
      <c r="O60" s="22"/>
      <c r="P60" s="22"/>
      <c r="Q60" s="22"/>
      <c r="R60" s="22"/>
      <c r="S60" s="22"/>
      <c r="T60" s="22"/>
      <c r="U60" s="22"/>
      <c r="V60" s="22"/>
      <c r="W60" s="22"/>
      <c r="X60" s="22"/>
      <c r="Y60" s="22"/>
      <c r="Z60" s="22"/>
      <c r="AA60" s="22"/>
      <c r="AB60" s="22"/>
      <c r="AC60" s="22"/>
      <c r="AD60" s="22"/>
      <c r="AE60" s="22"/>
    </row>
    <row r="61">
      <c r="A61" s="17" t="s">
        <v>64</v>
      </c>
      <c r="B61" s="167" t="str">
        <f>IF(ISBLANK(A61),"",VLOOKUP(A61,DOI_URL!$B$1:$C$74,2,FALSE()))</f>
        <v>https://drive.google.com/file/d/108selP15cGxfsgDTiz8MuvWHVM-GJYA5/view?usp=sharing</v>
      </c>
      <c r="C61" s="17" t="s">
        <v>3311</v>
      </c>
      <c r="D61" s="17" t="s">
        <v>3311</v>
      </c>
      <c r="E61" s="17" t="s">
        <v>75</v>
      </c>
      <c r="F61" s="17" t="s">
        <v>33</v>
      </c>
      <c r="G61" s="17" t="s">
        <v>2271</v>
      </c>
      <c r="H61" s="17" t="s">
        <v>86</v>
      </c>
      <c r="I61" s="17" t="s">
        <v>91</v>
      </c>
      <c r="J61" s="17" t="s">
        <v>69</v>
      </c>
      <c r="K61" s="22"/>
      <c r="L61" s="22"/>
      <c r="M61" s="22"/>
      <c r="N61" s="22"/>
      <c r="O61" s="22"/>
      <c r="P61" s="22"/>
      <c r="Q61" s="22"/>
      <c r="R61" s="22"/>
      <c r="S61" s="22"/>
      <c r="T61" s="22"/>
      <c r="U61" s="22"/>
      <c r="V61" s="22"/>
      <c r="W61" s="22"/>
      <c r="X61" s="22"/>
      <c r="Y61" s="22"/>
      <c r="Z61" s="22"/>
      <c r="AA61" s="22"/>
      <c r="AB61" s="22"/>
      <c r="AC61" s="22"/>
      <c r="AD61" s="22"/>
      <c r="AE61" s="22"/>
    </row>
    <row r="62">
      <c r="A62" s="17" t="s">
        <v>64</v>
      </c>
      <c r="B62" s="167" t="str">
        <f>IF(ISBLANK(A62),"",VLOOKUP(A62,DOI_URL!$B$1:$C$74,2,FALSE()))</f>
        <v>https://drive.google.com/file/d/108selP15cGxfsgDTiz8MuvWHVM-GJYA5/view?usp=sharing</v>
      </c>
      <c r="C62" s="17" t="s">
        <v>3311</v>
      </c>
      <c r="D62" s="17" t="s">
        <v>3311</v>
      </c>
      <c r="E62" s="17" t="s">
        <v>88</v>
      </c>
      <c r="F62" s="17" t="s">
        <v>33</v>
      </c>
      <c r="G62" s="17" t="s">
        <v>89</v>
      </c>
      <c r="H62" s="17" t="s">
        <v>33</v>
      </c>
      <c r="I62" s="17" t="s">
        <v>91</v>
      </c>
      <c r="J62" s="17" t="s">
        <v>69</v>
      </c>
      <c r="K62" s="22"/>
      <c r="L62" s="22"/>
      <c r="M62" s="22"/>
      <c r="N62" s="22"/>
      <c r="O62" s="22"/>
      <c r="P62" s="22"/>
      <c r="Q62" s="22"/>
      <c r="R62" s="22"/>
      <c r="S62" s="22"/>
      <c r="T62" s="22"/>
      <c r="U62" s="22"/>
      <c r="V62" s="22"/>
      <c r="W62" s="22"/>
      <c r="X62" s="22"/>
      <c r="Y62" s="22"/>
      <c r="Z62" s="22"/>
      <c r="AA62" s="22"/>
      <c r="AB62" s="22"/>
      <c r="AC62" s="22"/>
      <c r="AD62" s="22"/>
      <c r="AE62" s="22"/>
    </row>
    <row r="63">
      <c r="A63" s="17" t="s">
        <v>64</v>
      </c>
      <c r="B63" s="167" t="str">
        <f>IF(ISBLANK(A63),"",VLOOKUP(A63,DOI_URL!$B$1:$C$74,2,FALSE()))</f>
        <v>https://drive.google.com/file/d/108selP15cGxfsgDTiz8MuvWHVM-GJYA5/view?usp=sharing</v>
      </c>
      <c r="C63" s="17" t="s">
        <v>3311</v>
      </c>
      <c r="D63" s="17" t="s">
        <v>3311</v>
      </c>
      <c r="E63" s="17" t="s">
        <v>93</v>
      </c>
      <c r="F63" s="17" t="s">
        <v>33</v>
      </c>
      <c r="G63" s="17" t="s">
        <v>94</v>
      </c>
      <c r="H63" s="17" t="s">
        <v>33</v>
      </c>
      <c r="I63" s="17" t="s">
        <v>91</v>
      </c>
      <c r="J63" s="17" t="s">
        <v>69</v>
      </c>
      <c r="K63" s="22"/>
      <c r="L63" s="22"/>
      <c r="M63" s="22"/>
      <c r="N63" s="22"/>
      <c r="O63" s="22"/>
      <c r="P63" s="22"/>
      <c r="Q63" s="22"/>
      <c r="R63" s="22"/>
      <c r="S63" s="22"/>
      <c r="T63" s="22"/>
      <c r="U63" s="22"/>
      <c r="V63" s="22"/>
      <c r="W63" s="22"/>
      <c r="X63" s="22"/>
      <c r="Y63" s="22"/>
      <c r="Z63" s="22"/>
      <c r="AA63" s="22"/>
      <c r="AB63" s="22"/>
      <c r="AC63" s="22"/>
      <c r="AD63" s="22"/>
      <c r="AE63" s="22"/>
    </row>
    <row r="64">
      <c r="A64" s="17" t="s">
        <v>64</v>
      </c>
      <c r="B64" s="167" t="str">
        <f>IF(ISBLANK(A64),"",VLOOKUP(A64,DOI_URL!$B$1:$C$74,2,FALSE()))</f>
        <v>https://drive.google.com/file/d/108selP15cGxfsgDTiz8MuvWHVM-GJYA5/view?usp=sharing</v>
      </c>
      <c r="C64" s="17" t="s">
        <v>3311</v>
      </c>
      <c r="D64" s="17" t="s">
        <v>3311</v>
      </c>
      <c r="E64" s="17" t="s">
        <v>96</v>
      </c>
      <c r="F64" s="17" t="s">
        <v>33</v>
      </c>
      <c r="G64" s="17" t="s">
        <v>97</v>
      </c>
      <c r="H64" s="17" t="s">
        <v>33</v>
      </c>
      <c r="I64" s="17" t="s">
        <v>44</v>
      </c>
      <c r="J64" s="17" t="s">
        <v>69</v>
      </c>
      <c r="K64" s="22"/>
      <c r="L64" s="22"/>
      <c r="M64" s="22"/>
      <c r="N64" s="22"/>
      <c r="O64" s="22"/>
      <c r="P64" s="22"/>
      <c r="Q64" s="22"/>
      <c r="R64" s="22"/>
      <c r="S64" s="22"/>
      <c r="T64" s="22"/>
      <c r="U64" s="22"/>
      <c r="V64" s="22"/>
      <c r="W64" s="22"/>
      <c r="X64" s="22"/>
      <c r="Y64" s="22"/>
      <c r="Z64" s="22"/>
      <c r="AA64" s="22"/>
      <c r="AB64" s="22"/>
      <c r="AC64" s="22"/>
      <c r="AD64" s="22"/>
      <c r="AE64" s="22"/>
    </row>
    <row r="65">
      <c r="A65" s="17" t="s">
        <v>64</v>
      </c>
      <c r="B65" s="167" t="str">
        <f>IF(ISBLANK(A65),"",VLOOKUP(A65,DOI_URL!$B$1:$C$74,2,FALSE()))</f>
        <v>https://drive.google.com/file/d/108selP15cGxfsgDTiz8MuvWHVM-GJYA5/view?usp=sharing</v>
      </c>
      <c r="C65" s="17" t="s">
        <v>3311</v>
      </c>
      <c r="D65" s="17" t="s">
        <v>3311</v>
      </c>
      <c r="E65" s="17" t="s">
        <v>96</v>
      </c>
      <c r="F65" s="17" t="s">
        <v>100</v>
      </c>
      <c r="G65" s="17" t="s">
        <v>101</v>
      </c>
      <c r="H65" s="17" t="s">
        <v>33</v>
      </c>
      <c r="I65" s="17" t="s">
        <v>44</v>
      </c>
      <c r="J65" s="17" t="s">
        <v>69</v>
      </c>
      <c r="K65" s="22"/>
      <c r="L65" s="22"/>
      <c r="M65" s="22"/>
      <c r="N65" s="22"/>
      <c r="O65" s="22"/>
      <c r="P65" s="22"/>
      <c r="Q65" s="22"/>
      <c r="R65" s="22"/>
      <c r="S65" s="22"/>
      <c r="T65" s="22"/>
      <c r="U65" s="22"/>
      <c r="V65" s="22"/>
      <c r="W65" s="22"/>
      <c r="X65" s="22"/>
      <c r="Y65" s="22"/>
      <c r="Z65" s="22"/>
      <c r="AA65" s="22"/>
      <c r="AB65" s="22"/>
      <c r="AC65" s="22"/>
      <c r="AD65" s="22"/>
      <c r="AE65" s="22"/>
    </row>
    <row r="66">
      <c r="A66" s="17" t="s">
        <v>64</v>
      </c>
      <c r="B66" s="167" t="str">
        <f>IF(ISBLANK(A66),"",VLOOKUP(A66,DOI_URL!$B$1:$C$74,2,FALSE()))</f>
        <v>https://drive.google.com/file/d/108selP15cGxfsgDTiz8MuvWHVM-GJYA5/view?usp=sharing</v>
      </c>
      <c r="C66" s="17" t="s">
        <v>3311</v>
      </c>
      <c r="D66" s="17" t="s">
        <v>3311</v>
      </c>
      <c r="E66" s="17" t="s">
        <v>96</v>
      </c>
      <c r="F66" s="17" t="s">
        <v>103</v>
      </c>
      <c r="G66" s="17" t="s">
        <v>104</v>
      </c>
      <c r="H66" s="17" t="s">
        <v>105</v>
      </c>
      <c r="I66" s="17" t="s">
        <v>106</v>
      </c>
      <c r="J66" s="17" t="s">
        <v>69</v>
      </c>
      <c r="K66" s="22"/>
      <c r="L66" s="22"/>
      <c r="M66" s="22"/>
      <c r="N66" s="22"/>
      <c r="O66" s="22"/>
      <c r="P66" s="22"/>
      <c r="Q66" s="22"/>
      <c r="R66" s="22"/>
      <c r="S66" s="22"/>
      <c r="T66" s="22"/>
      <c r="U66" s="22"/>
      <c r="V66" s="22"/>
      <c r="W66" s="22"/>
      <c r="X66" s="22"/>
      <c r="Y66" s="22"/>
      <c r="Z66" s="22"/>
      <c r="AA66" s="22"/>
      <c r="AB66" s="22"/>
      <c r="AC66" s="22"/>
      <c r="AD66" s="22"/>
      <c r="AE66" s="22"/>
    </row>
    <row r="67">
      <c r="A67" s="17" t="s">
        <v>64</v>
      </c>
      <c r="B67" s="167" t="str">
        <f>IF(ISBLANK(A67),"",VLOOKUP(A67,DOI_URL!$B$1:$C$74,2,FALSE()))</f>
        <v>https://drive.google.com/file/d/108selP15cGxfsgDTiz8MuvWHVM-GJYA5/view?usp=sharing</v>
      </c>
      <c r="C67" s="17" t="s">
        <v>3311</v>
      </c>
      <c r="D67" s="17" t="s">
        <v>3311</v>
      </c>
      <c r="E67" s="17" t="s">
        <v>108</v>
      </c>
      <c r="F67" s="17" t="s">
        <v>109</v>
      </c>
      <c r="G67" s="17" t="s">
        <v>110</v>
      </c>
      <c r="H67" s="17" t="s">
        <v>111</v>
      </c>
      <c r="I67" s="17" t="s">
        <v>54</v>
      </c>
      <c r="J67" s="17" t="s">
        <v>69</v>
      </c>
      <c r="K67" s="22"/>
      <c r="L67" s="22"/>
      <c r="M67" s="22"/>
      <c r="N67" s="22"/>
      <c r="O67" s="22"/>
      <c r="P67" s="22"/>
      <c r="Q67" s="22"/>
      <c r="R67" s="22"/>
      <c r="S67" s="22"/>
      <c r="T67" s="22"/>
      <c r="U67" s="22"/>
      <c r="V67" s="22"/>
      <c r="W67" s="22"/>
      <c r="X67" s="22"/>
      <c r="Y67" s="22"/>
      <c r="Z67" s="22"/>
      <c r="AA67" s="22"/>
      <c r="AB67" s="22"/>
      <c r="AC67" s="22"/>
      <c r="AD67" s="22"/>
      <c r="AE67" s="22"/>
    </row>
    <row r="68">
      <c r="A68" s="17" t="s">
        <v>64</v>
      </c>
      <c r="B68" s="167" t="str">
        <f>IF(ISBLANK(A68),"",VLOOKUP(A68,DOI_URL!$B$1:$C$74,2,FALSE()))</f>
        <v>https://drive.google.com/file/d/108selP15cGxfsgDTiz8MuvWHVM-GJYA5/view?usp=sharing</v>
      </c>
      <c r="C68" s="17" t="s">
        <v>3311</v>
      </c>
      <c r="D68" s="17" t="s">
        <v>3311</v>
      </c>
      <c r="E68" s="17" t="s">
        <v>113</v>
      </c>
      <c r="F68" s="17" t="s">
        <v>114</v>
      </c>
      <c r="G68" s="17" t="s">
        <v>2274</v>
      </c>
      <c r="H68" s="17" t="s">
        <v>116</v>
      </c>
      <c r="I68" s="17" t="s">
        <v>39</v>
      </c>
      <c r="J68" s="17" t="s">
        <v>69</v>
      </c>
      <c r="K68" s="22"/>
      <c r="L68" s="22"/>
      <c r="M68" s="22"/>
      <c r="N68" s="22"/>
      <c r="O68" s="22"/>
      <c r="P68" s="22"/>
      <c r="Q68" s="22"/>
      <c r="R68" s="22"/>
      <c r="S68" s="22"/>
      <c r="T68" s="22"/>
      <c r="U68" s="22"/>
      <c r="V68" s="22"/>
      <c r="W68" s="22"/>
      <c r="X68" s="22"/>
      <c r="Y68" s="22"/>
      <c r="Z68" s="22"/>
      <c r="AA68" s="22"/>
      <c r="AB68" s="22"/>
      <c r="AC68" s="22"/>
      <c r="AD68" s="22"/>
      <c r="AE68" s="22"/>
    </row>
    <row r="69">
      <c r="A69" s="17" t="s">
        <v>64</v>
      </c>
      <c r="B69" s="167" t="str">
        <f>IF(ISBLANK(A69),"",VLOOKUP(A69,DOI_URL!$B$1:$C$74,2,FALSE()))</f>
        <v>https://drive.google.com/file/d/108selP15cGxfsgDTiz8MuvWHVM-GJYA5/view?usp=sharing</v>
      </c>
      <c r="C69" s="17" t="s">
        <v>3311</v>
      </c>
      <c r="D69" s="17" t="s">
        <v>3311</v>
      </c>
      <c r="E69" s="17" t="s">
        <v>113</v>
      </c>
      <c r="F69" s="17" t="s">
        <v>114</v>
      </c>
      <c r="G69" s="17" t="s">
        <v>2275</v>
      </c>
      <c r="H69" s="17" t="s">
        <v>2276</v>
      </c>
      <c r="I69" s="17" t="s">
        <v>39</v>
      </c>
      <c r="J69" s="17" t="s">
        <v>69</v>
      </c>
      <c r="K69" s="22"/>
      <c r="L69" s="22"/>
      <c r="M69" s="22"/>
      <c r="N69" s="22"/>
      <c r="O69" s="22"/>
      <c r="P69" s="22"/>
      <c r="Q69" s="22"/>
      <c r="R69" s="22"/>
      <c r="S69" s="22"/>
      <c r="T69" s="22"/>
      <c r="U69" s="22"/>
      <c r="V69" s="22"/>
      <c r="W69" s="22"/>
      <c r="X69" s="22"/>
      <c r="Y69" s="22"/>
      <c r="Z69" s="22"/>
      <c r="AA69" s="22"/>
      <c r="AB69" s="22"/>
      <c r="AC69" s="22"/>
      <c r="AD69" s="22"/>
      <c r="AE69" s="22"/>
    </row>
    <row r="70">
      <c r="A70" s="17" t="s">
        <v>64</v>
      </c>
      <c r="B70" s="167" t="str">
        <f>IF(ISBLANK(A70),"",VLOOKUP(A70,DOI_URL!$B$1:$C$74,2,FALSE()))</f>
        <v>https://drive.google.com/file/d/108selP15cGxfsgDTiz8MuvWHVM-GJYA5/view?usp=sharing</v>
      </c>
      <c r="C70" s="17" t="s">
        <v>3311</v>
      </c>
      <c r="D70" s="17" t="s">
        <v>3311</v>
      </c>
      <c r="E70" s="17" t="s">
        <v>118</v>
      </c>
      <c r="F70" s="17" t="s">
        <v>119</v>
      </c>
      <c r="G70" s="17" t="s">
        <v>120</v>
      </c>
      <c r="H70" s="17" t="s">
        <v>121</v>
      </c>
      <c r="I70" s="17" t="s">
        <v>39</v>
      </c>
      <c r="J70" s="17" t="s">
        <v>69</v>
      </c>
      <c r="K70" s="22"/>
      <c r="L70" s="22"/>
      <c r="M70" s="22"/>
      <c r="N70" s="22"/>
      <c r="O70" s="22"/>
      <c r="P70" s="22"/>
      <c r="Q70" s="22"/>
      <c r="R70" s="22"/>
      <c r="S70" s="22"/>
      <c r="T70" s="22"/>
      <c r="U70" s="22"/>
      <c r="V70" s="22"/>
      <c r="W70" s="22"/>
      <c r="X70" s="22"/>
      <c r="Y70" s="22"/>
      <c r="Z70" s="22"/>
      <c r="AA70" s="22"/>
      <c r="AB70" s="22"/>
      <c r="AC70" s="22"/>
      <c r="AD70" s="22"/>
      <c r="AE70" s="22"/>
    </row>
    <row r="71">
      <c r="A71" s="17" t="s">
        <v>64</v>
      </c>
      <c r="B71" s="167" t="str">
        <f>IF(ISBLANK(A71),"",VLOOKUP(A71,DOI_URL!$B$1:$C$74,2,FALSE()))</f>
        <v>https://drive.google.com/file/d/108selP15cGxfsgDTiz8MuvWHVM-GJYA5/view?usp=sharing</v>
      </c>
      <c r="C71" s="17" t="s">
        <v>3311</v>
      </c>
      <c r="D71" s="17" t="s">
        <v>3311</v>
      </c>
      <c r="E71" s="17" t="s">
        <v>118</v>
      </c>
      <c r="F71" s="17" t="s">
        <v>122</v>
      </c>
      <c r="G71" s="17" t="s">
        <v>123</v>
      </c>
      <c r="H71" s="17" t="s">
        <v>124</v>
      </c>
      <c r="I71" s="17" t="s">
        <v>39</v>
      </c>
      <c r="J71" s="17" t="s">
        <v>69</v>
      </c>
      <c r="K71" s="22"/>
      <c r="L71" s="22"/>
      <c r="M71" s="22"/>
      <c r="N71" s="22"/>
      <c r="O71" s="22"/>
      <c r="P71" s="22"/>
      <c r="Q71" s="22"/>
      <c r="R71" s="22"/>
      <c r="S71" s="22"/>
      <c r="T71" s="22"/>
      <c r="U71" s="22"/>
      <c r="V71" s="22"/>
      <c r="W71" s="22"/>
      <c r="X71" s="22"/>
      <c r="Y71" s="22"/>
      <c r="Z71" s="22"/>
      <c r="AA71" s="22"/>
      <c r="AB71" s="22"/>
      <c r="AC71" s="22"/>
      <c r="AD71" s="22"/>
      <c r="AE71" s="22"/>
    </row>
    <row r="72">
      <c r="A72" s="17" t="s">
        <v>64</v>
      </c>
      <c r="B72" s="167" t="str">
        <f>IF(ISBLANK(A72),"",VLOOKUP(A72,DOI_URL!$B$1:$C$74,2,FALSE()))</f>
        <v>https://drive.google.com/file/d/108selP15cGxfsgDTiz8MuvWHVM-GJYA5/view?usp=sharing</v>
      </c>
      <c r="C72" s="17" t="s">
        <v>3311</v>
      </c>
      <c r="D72" s="17" t="s">
        <v>3311</v>
      </c>
      <c r="E72" s="17" t="s">
        <v>118</v>
      </c>
      <c r="F72" s="17" t="s">
        <v>125</v>
      </c>
      <c r="G72" s="17" t="s">
        <v>126</v>
      </c>
      <c r="H72" s="17" t="s">
        <v>127</v>
      </c>
      <c r="I72" s="17" t="s">
        <v>39</v>
      </c>
      <c r="J72" s="17" t="s">
        <v>69</v>
      </c>
      <c r="K72" s="22"/>
      <c r="L72" s="22"/>
      <c r="M72" s="22"/>
      <c r="N72" s="22"/>
      <c r="O72" s="22"/>
      <c r="P72" s="22"/>
      <c r="Q72" s="22"/>
      <c r="R72" s="22"/>
      <c r="S72" s="22"/>
      <c r="T72" s="22"/>
      <c r="U72" s="22"/>
      <c r="V72" s="22"/>
      <c r="W72" s="22"/>
      <c r="X72" s="22"/>
      <c r="Y72" s="22"/>
      <c r="Z72" s="22"/>
      <c r="AA72" s="22"/>
      <c r="AB72" s="22"/>
      <c r="AC72" s="22"/>
      <c r="AD72" s="22"/>
      <c r="AE72" s="22"/>
    </row>
    <row r="73">
      <c r="A73" s="17" t="s">
        <v>799</v>
      </c>
      <c r="B73" s="167" t="str">
        <f>IF(ISBLANK(A73),"",VLOOKUP(A73,DOI_URL!$B$1:$C$74,2,FALSE()))</f>
        <v>https://drive.google.com/file/d/1ZA_NYX0fbBrmwcJo4XuxvPhxOyLBWcMZ/view?usp=sharing</v>
      </c>
      <c r="C73" s="17" t="s">
        <v>3309</v>
      </c>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row>
    <row r="74">
      <c r="A74" s="17" t="s">
        <v>189</v>
      </c>
      <c r="B74" s="167" t="str">
        <f>IF(ISBLANK(A74),"",VLOOKUP(A74,DOI_URL!$B$1:$C$74,2,FALSE()))</f>
        <v>https://drive.google.com/file/d/1pADV6CiRzv3ZSsdWF3wWAYPyhNn0Qr9k/view?usp=sharing</v>
      </c>
      <c r="C74" s="17" t="s">
        <v>3311</v>
      </c>
      <c r="D74" s="17" t="s">
        <v>3311</v>
      </c>
      <c r="E74" s="17" t="s">
        <v>190</v>
      </c>
      <c r="F74" s="17" t="s">
        <v>191</v>
      </c>
      <c r="G74" s="17" t="s">
        <v>192</v>
      </c>
      <c r="H74" s="17" t="s">
        <v>193</v>
      </c>
      <c r="I74" s="17" t="s">
        <v>20</v>
      </c>
      <c r="J74" s="17" t="s">
        <v>194</v>
      </c>
      <c r="K74" s="22"/>
      <c r="L74" s="22"/>
      <c r="M74" s="22"/>
      <c r="N74" s="22"/>
      <c r="O74" s="22"/>
      <c r="P74" s="22"/>
      <c r="Q74" s="22"/>
      <c r="R74" s="22"/>
      <c r="S74" s="22"/>
      <c r="T74" s="22"/>
      <c r="U74" s="22"/>
      <c r="V74" s="22"/>
      <c r="W74" s="22"/>
      <c r="X74" s="22"/>
      <c r="Y74" s="22"/>
      <c r="Z74" s="22"/>
      <c r="AA74" s="22"/>
      <c r="AB74" s="22"/>
      <c r="AC74" s="22"/>
      <c r="AD74" s="22"/>
      <c r="AE74" s="22"/>
    </row>
    <row r="75">
      <c r="A75" s="17" t="s">
        <v>189</v>
      </c>
      <c r="B75" s="167" t="str">
        <f>IF(ISBLANK(A75),"",VLOOKUP(A75,DOI_URL!$B$1:$C$74,2,FALSE()))</f>
        <v>https://drive.google.com/file/d/1pADV6CiRzv3ZSsdWF3wWAYPyhNn0Qr9k/view?usp=sharing</v>
      </c>
      <c r="C75" s="17" t="s">
        <v>3311</v>
      </c>
      <c r="D75" s="17" t="s">
        <v>3311</v>
      </c>
      <c r="E75" s="17" t="s">
        <v>190</v>
      </c>
      <c r="F75" s="17" t="s">
        <v>195</v>
      </c>
      <c r="G75" s="17" t="s">
        <v>196</v>
      </c>
      <c r="H75" s="17" t="s">
        <v>197</v>
      </c>
      <c r="I75" s="17" t="s">
        <v>20</v>
      </c>
      <c r="J75" s="17" t="s">
        <v>194</v>
      </c>
      <c r="K75" s="22"/>
      <c r="L75" s="22"/>
      <c r="M75" s="22"/>
      <c r="N75" s="22"/>
      <c r="O75" s="22"/>
      <c r="P75" s="22"/>
      <c r="Q75" s="22"/>
      <c r="R75" s="22"/>
      <c r="S75" s="22"/>
      <c r="T75" s="22"/>
      <c r="U75" s="22"/>
      <c r="V75" s="22"/>
      <c r="W75" s="22"/>
      <c r="X75" s="22"/>
      <c r="Y75" s="22"/>
      <c r="Z75" s="22"/>
      <c r="AA75" s="22"/>
      <c r="AB75" s="22"/>
      <c r="AC75" s="22"/>
      <c r="AD75" s="22"/>
      <c r="AE75" s="22"/>
    </row>
    <row r="76">
      <c r="A76" s="17" t="s">
        <v>189</v>
      </c>
      <c r="B76" s="167" t="str">
        <f>IF(ISBLANK(A76),"",VLOOKUP(A76,DOI_URL!$B$1:$C$74,2,FALSE()))</f>
        <v>https://drive.google.com/file/d/1pADV6CiRzv3ZSsdWF3wWAYPyhNn0Qr9k/view?usp=sharing</v>
      </c>
      <c r="C76" s="17" t="s">
        <v>3311</v>
      </c>
      <c r="D76" s="17" t="s">
        <v>3311</v>
      </c>
      <c r="E76" s="17" t="s">
        <v>190</v>
      </c>
      <c r="F76" s="17" t="s">
        <v>198</v>
      </c>
      <c r="G76" s="17" t="s">
        <v>199</v>
      </c>
      <c r="H76" s="17" t="s">
        <v>197</v>
      </c>
      <c r="I76" s="17" t="s">
        <v>20</v>
      </c>
      <c r="J76" s="17" t="s">
        <v>194</v>
      </c>
      <c r="K76" s="22"/>
      <c r="L76" s="22"/>
      <c r="M76" s="22"/>
      <c r="N76" s="22"/>
      <c r="O76" s="22"/>
      <c r="P76" s="22"/>
      <c r="Q76" s="22"/>
      <c r="R76" s="22"/>
      <c r="S76" s="22"/>
      <c r="T76" s="22"/>
      <c r="U76" s="22"/>
      <c r="V76" s="22"/>
      <c r="W76" s="22"/>
      <c r="X76" s="22"/>
      <c r="Y76" s="22"/>
      <c r="Z76" s="22"/>
      <c r="AA76" s="22"/>
      <c r="AB76" s="22"/>
      <c r="AC76" s="22"/>
      <c r="AD76" s="22"/>
      <c r="AE76" s="22"/>
    </row>
    <row r="77">
      <c r="A77" s="17" t="s">
        <v>189</v>
      </c>
      <c r="B77" s="167" t="str">
        <f>IF(ISBLANK(A77),"",VLOOKUP(A77,DOI_URL!$B$1:$C$74,2,FALSE()))</f>
        <v>https://drive.google.com/file/d/1pADV6CiRzv3ZSsdWF3wWAYPyhNn0Qr9k/view?usp=sharing</v>
      </c>
      <c r="C77" s="17" t="s">
        <v>3311</v>
      </c>
      <c r="D77" s="17" t="s">
        <v>3311</v>
      </c>
      <c r="E77" s="17" t="s">
        <v>190</v>
      </c>
      <c r="F77" s="17" t="s">
        <v>198</v>
      </c>
      <c r="G77" s="17" t="s">
        <v>201</v>
      </c>
      <c r="H77" s="17" t="s">
        <v>197</v>
      </c>
      <c r="I77" s="17" t="s">
        <v>20</v>
      </c>
      <c r="J77" s="17" t="s">
        <v>194</v>
      </c>
      <c r="K77" s="22"/>
      <c r="L77" s="22"/>
      <c r="M77" s="22"/>
      <c r="N77" s="22"/>
      <c r="O77" s="22"/>
      <c r="P77" s="22"/>
      <c r="Q77" s="22"/>
      <c r="R77" s="22"/>
      <c r="S77" s="22"/>
      <c r="T77" s="22"/>
      <c r="U77" s="22"/>
      <c r="V77" s="22"/>
      <c r="W77" s="22"/>
      <c r="X77" s="22"/>
      <c r="Y77" s="22"/>
      <c r="Z77" s="22"/>
      <c r="AA77" s="22"/>
      <c r="AB77" s="22"/>
      <c r="AC77" s="22"/>
      <c r="AD77" s="22"/>
      <c r="AE77" s="22"/>
    </row>
    <row r="78">
      <c r="A78" s="17" t="s">
        <v>189</v>
      </c>
      <c r="B78" s="167" t="str">
        <f>IF(ISBLANK(A78),"",VLOOKUP(A78,DOI_URL!$B$1:$C$74,2,FALSE()))</f>
        <v>https://drive.google.com/file/d/1pADV6CiRzv3ZSsdWF3wWAYPyhNn0Qr9k/view?usp=sharing</v>
      </c>
      <c r="C78" s="17" t="s">
        <v>3311</v>
      </c>
      <c r="D78" s="17" t="s">
        <v>3311</v>
      </c>
      <c r="E78" s="17" t="s">
        <v>190</v>
      </c>
      <c r="F78" s="17" t="s">
        <v>198</v>
      </c>
      <c r="G78" s="17" t="s">
        <v>203</v>
      </c>
      <c r="H78" s="17" t="s">
        <v>197</v>
      </c>
      <c r="I78" s="17" t="s">
        <v>20</v>
      </c>
      <c r="J78" s="17" t="s">
        <v>194</v>
      </c>
      <c r="K78" s="22"/>
      <c r="L78" s="22"/>
      <c r="M78" s="22"/>
      <c r="N78" s="22"/>
      <c r="O78" s="22"/>
      <c r="P78" s="22"/>
      <c r="Q78" s="22"/>
      <c r="R78" s="22"/>
      <c r="S78" s="22"/>
      <c r="T78" s="22"/>
      <c r="U78" s="22"/>
      <c r="V78" s="22"/>
      <c r="W78" s="22"/>
      <c r="X78" s="22"/>
      <c r="Y78" s="22"/>
      <c r="Z78" s="22"/>
      <c r="AA78" s="22"/>
      <c r="AB78" s="22"/>
      <c r="AC78" s="22"/>
      <c r="AD78" s="22"/>
      <c r="AE78" s="22"/>
    </row>
    <row r="79">
      <c r="A79" s="17" t="s">
        <v>189</v>
      </c>
      <c r="B79" s="167" t="str">
        <f>IF(ISBLANK(A79),"",VLOOKUP(A79,DOI_URL!$B$1:$C$74,2,FALSE()))</f>
        <v>https://drive.google.com/file/d/1pADV6CiRzv3ZSsdWF3wWAYPyhNn0Qr9k/view?usp=sharing</v>
      </c>
      <c r="C79" s="17" t="s">
        <v>3311</v>
      </c>
      <c r="D79" s="17" t="s">
        <v>3311</v>
      </c>
      <c r="E79" s="17" t="s">
        <v>204</v>
      </c>
      <c r="F79" s="17" t="s">
        <v>33</v>
      </c>
      <c r="G79" s="17" t="s">
        <v>206</v>
      </c>
      <c r="H79" s="17" t="s">
        <v>33</v>
      </c>
      <c r="I79" s="17" t="s">
        <v>44</v>
      </c>
      <c r="J79" s="17" t="s">
        <v>194</v>
      </c>
      <c r="K79" s="22"/>
      <c r="L79" s="22"/>
      <c r="M79" s="22"/>
      <c r="N79" s="22"/>
      <c r="O79" s="22"/>
      <c r="P79" s="22"/>
      <c r="Q79" s="22"/>
      <c r="R79" s="22"/>
      <c r="S79" s="22"/>
      <c r="T79" s="22"/>
      <c r="U79" s="22"/>
      <c r="V79" s="22"/>
      <c r="W79" s="22"/>
      <c r="X79" s="22"/>
      <c r="Y79" s="22"/>
      <c r="Z79" s="22"/>
      <c r="AA79" s="22"/>
      <c r="AB79" s="22"/>
      <c r="AC79" s="22"/>
      <c r="AD79" s="22"/>
      <c r="AE79" s="22"/>
    </row>
    <row r="80">
      <c r="A80" s="17" t="s">
        <v>189</v>
      </c>
      <c r="B80" s="167" t="str">
        <f>IF(ISBLANK(A80),"",VLOOKUP(A80,DOI_URL!$B$1:$C$74,2,FALSE()))</f>
        <v>https://drive.google.com/file/d/1pADV6CiRzv3ZSsdWF3wWAYPyhNn0Qr9k/view?usp=sharing</v>
      </c>
      <c r="C80" s="17" t="s">
        <v>3311</v>
      </c>
      <c r="D80" s="17" t="s">
        <v>3311</v>
      </c>
      <c r="E80" s="17" t="s">
        <v>209</v>
      </c>
      <c r="F80" s="17" t="s">
        <v>210</v>
      </c>
      <c r="G80" s="17" t="s">
        <v>211</v>
      </c>
      <c r="H80" s="17" t="s">
        <v>212</v>
      </c>
      <c r="I80" s="17" t="s">
        <v>91</v>
      </c>
      <c r="J80" s="17" t="s">
        <v>194</v>
      </c>
      <c r="K80" s="22"/>
      <c r="L80" s="22"/>
      <c r="M80" s="22"/>
      <c r="N80" s="22"/>
      <c r="O80" s="22"/>
      <c r="P80" s="22"/>
      <c r="Q80" s="22"/>
      <c r="R80" s="22"/>
      <c r="S80" s="22"/>
      <c r="T80" s="22"/>
      <c r="U80" s="22"/>
      <c r="V80" s="22"/>
      <c r="W80" s="22"/>
      <c r="X80" s="22"/>
      <c r="Y80" s="22"/>
      <c r="Z80" s="22"/>
      <c r="AA80" s="22"/>
      <c r="AB80" s="22"/>
      <c r="AC80" s="22"/>
      <c r="AD80" s="22"/>
      <c r="AE80" s="22"/>
    </row>
    <row r="81">
      <c r="A81" s="17" t="s">
        <v>189</v>
      </c>
      <c r="B81" s="167" t="str">
        <f>IF(ISBLANK(A81),"",VLOOKUP(A81,DOI_URL!$B$1:$C$74,2,FALSE()))</f>
        <v>https://drive.google.com/file/d/1pADV6CiRzv3ZSsdWF3wWAYPyhNn0Qr9k/view?usp=sharing</v>
      </c>
      <c r="C81" s="17" t="s">
        <v>3311</v>
      </c>
      <c r="D81" s="17" t="s">
        <v>3311</v>
      </c>
      <c r="E81" s="17" t="s">
        <v>214</v>
      </c>
      <c r="F81" s="17" t="s">
        <v>215</v>
      </c>
      <c r="G81" s="17" t="s">
        <v>216</v>
      </c>
      <c r="H81" s="17" t="s">
        <v>2326</v>
      </c>
      <c r="I81" s="17" t="s">
        <v>91</v>
      </c>
      <c r="J81" s="17" t="s">
        <v>194</v>
      </c>
      <c r="K81" s="22"/>
      <c r="L81" s="22"/>
      <c r="M81" s="22"/>
      <c r="N81" s="22"/>
      <c r="O81" s="22"/>
      <c r="P81" s="22"/>
      <c r="Q81" s="22"/>
      <c r="R81" s="22"/>
      <c r="S81" s="22"/>
      <c r="T81" s="22"/>
      <c r="U81" s="22"/>
      <c r="V81" s="22"/>
      <c r="W81" s="22"/>
      <c r="X81" s="22"/>
      <c r="Y81" s="22"/>
      <c r="Z81" s="22"/>
      <c r="AA81" s="22"/>
      <c r="AB81" s="22"/>
      <c r="AC81" s="22"/>
      <c r="AD81" s="22"/>
      <c r="AE81" s="22"/>
    </row>
    <row r="82">
      <c r="A82" s="17" t="s">
        <v>189</v>
      </c>
      <c r="B82" s="167" t="str">
        <f>IF(ISBLANK(A82),"",VLOOKUP(A82,DOI_URL!$B$1:$C$74,2,FALSE()))</f>
        <v>https://drive.google.com/file/d/1pADV6CiRzv3ZSsdWF3wWAYPyhNn0Qr9k/view?usp=sharing</v>
      </c>
      <c r="C82" s="17" t="s">
        <v>3311</v>
      </c>
      <c r="D82" s="17" t="s">
        <v>3311</v>
      </c>
      <c r="E82" s="17" t="s">
        <v>219</v>
      </c>
      <c r="F82" s="17" t="s">
        <v>215</v>
      </c>
      <c r="G82" s="17" t="s">
        <v>220</v>
      </c>
      <c r="H82" s="17" t="s">
        <v>221</v>
      </c>
      <c r="I82" s="17" t="s">
        <v>91</v>
      </c>
      <c r="J82" s="17" t="s">
        <v>194</v>
      </c>
      <c r="K82" s="22"/>
      <c r="L82" s="22"/>
      <c r="M82" s="22"/>
      <c r="N82" s="22"/>
      <c r="O82" s="22"/>
      <c r="P82" s="22"/>
      <c r="Q82" s="22"/>
      <c r="R82" s="22"/>
      <c r="S82" s="22"/>
      <c r="T82" s="22"/>
      <c r="U82" s="22"/>
      <c r="V82" s="22"/>
      <c r="W82" s="22"/>
      <c r="X82" s="22"/>
      <c r="Y82" s="22"/>
      <c r="Z82" s="22"/>
      <c r="AA82" s="22"/>
      <c r="AB82" s="22"/>
      <c r="AC82" s="22"/>
      <c r="AD82" s="22"/>
      <c r="AE82" s="22"/>
    </row>
    <row r="83">
      <c r="A83" s="17" t="s">
        <v>189</v>
      </c>
      <c r="B83" s="167" t="str">
        <f>IF(ISBLANK(A83),"",VLOOKUP(A83,DOI_URL!$B$1:$C$74,2,FALSE()))</f>
        <v>https://drive.google.com/file/d/1pADV6CiRzv3ZSsdWF3wWAYPyhNn0Qr9k/view?usp=sharing</v>
      </c>
      <c r="C83" s="17" t="s">
        <v>3311</v>
      </c>
      <c r="D83" s="17" t="s">
        <v>3311</v>
      </c>
      <c r="E83" s="17" t="s">
        <v>219</v>
      </c>
      <c r="F83" s="17" t="s">
        <v>215</v>
      </c>
      <c r="G83" s="17" t="s">
        <v>222</v>
      </c>
      <c r="H83" s="17" t="s">
        <v>221</v>
      </c>
      <c r="I83" s="17" t="s">
        <v>91</v>
      </c>
      <c r="J83" s="17" t="s">
        <v>194</v>
      </c>
      <c r="K83" s="22"/>
      <c r="L83" s="22"/>
      <c r="M83" s="22"/>
      <c r="N83" s="22"/>
      <c r="O83" s="22"/>
      <c r="P83" s="22"/>
      <c r="Q83" s="22"/>
      <c r="R83" s="22"/>
      <c r="S83" s="22"/>
      <c r="T83" s="22"/>
      <c r="U83" s="22"/>
      <c r="V83" s="22"/>
      <c r="W83" s="22"/>
      <c r="X83" s="22"/>
      <c r="Y83" s="22"/>
      <c r="Z83" s="22"/>
      <c r="AA83" s="22"/>
      <c r="AB83" s="22"/>
      <c r="AC83" s="22"/>
      <c r="AD83" s="22"/>
      <c r="AE83" s="22"/>
    </row>
    <row r="84">
      <c r="A84" s="17" t="s">
        <v>189</v>
      </c>
      <c r="B84" s="167" t="str">
        <f>IF(ISBLANK(A84),"",VLOOKUP(A84,DOI_URL!$B$1:$C$74,2,FALSE()))</f>
        <v>https://drive.google.com/file/d/1pADV6CiRzv3ZSsdWF3wWAYPyhNn0Qr9k/view?usp=sharing</v>
      </c>
      <c r="C84" s="17" t="s">
        <v>3311</v>
      </c>
      <c r="D84" s="17" t="s">
        <v>3311</v>
      </c>
      <c r="E84" s="17" t="s">
        <v>219</v>
      </c>
      <c r="F84" s="17" t="s">
        <v>223</v>
      </c>
      <c r="G84" s="17" t="s">
        <v>224</v>
      </c>
      <c r="H84" s="17" t="s">
        <v>225</v>
      </c>
      <c r="I84" s="17" t="s">
        <v>91</v>
      </c>
      <c r="J84" s="17" t="s">
        <v>194</v>
      </c>
      <c r="K84" s="22"/>
      <c r="L84" s="22"/>
      <c r="M84" s="22"/>
      <c r="N84" s="22"/>
      <c r="O84" s="22"/>
      <c r="P84" s="22"/>
      <c r="Q84" s="22"/>
      <c r="R84" s="22"/>
      <c r="S84" s="22"/>
      <c r="T84" s="22"/>
      <c r="U84" s="22"/>
      <c r="V84" s="22"/>
      <c r="W84" s="22"/>
      <c r="X84" s="22"/>
      <c r="Y84" s="22"/>
      <c r="Z84" s="22"/>
      <c r="AA84" s="22"/>
      <c r="AB84" s="22"/>
      <c r="AC84" s="22"/>
      <c r="AD84" s="22"/>
      <c r="AE84" s="22"/>
    </row>
    <row r="85">
      <c r="A85" s="17" t="s">
        <v>189</v>
      </c>
      <c r="B85" s="167" t="str">
        <f>IF(ISBLANK(A85),"",VLOOKUP(A85,DOI_URL!$B$1:$C$74,2,FALSE()))</f>
        <v>https://drive.google.com/file/d/1pADV6CiRzv3ZSsdWF3wWAYPyhNn0Qr9k/view?usp=sharing</v>
      </c>
      <c r="C85" s="17" t="s">
        <v>3311</v>
      </c>
      <c r="D85" s="17" t="s">
        <v>3311</v>
      </c>
      <c r="E85" s="17" t="s">
        <v>219</v>
      </c>
      <c r="F85" s="17" t="s">
        <v>227</v>
      </c>
      <c r="G85" s="17" t="s">
        <v>228</v>
      </c>
      <c r="H85" s="17" t="s">
        <v>229</v>
      </c>
      <c r="I85" s="17" t="s">
        <v>54</v>
      </c>
      <c r="J85" s="17" t="s">
        <v>194</v>
      </c>
      <c r="K85" s="22"/>
      <c r="L85" s="22"/>
      <c r="M85" s="22"/>
      <c r="N85" s="22"/>
      <c r="O85" s="22"/>
      <c r="P85" s="22"/>
      <c r="Q85" s="22"/>
      <c r="R85" s="22"/>
      <c r="S85" s="22"/>
      <c r="T85" s="22"/>
      <c r="U85" s="22"/>
      <c r="V85" s="22"/>
      <c r="W85" s="22"/>
      <c r="X85" s="22"/>
      <c r="Y85" s="22"/>
      <c r="Z85" s="22"/>
      <c r="AA85" s="22"/>
      <c r="AB85" s="22"/>
      <c r="AC85" s="22"/>
      <c r="AD85" s="22"/>
      <c r="AE85" s="22"/>
    </row>
    <row r="86">
      <c r="A86" s="17" t="s">
        <v>189</v>
      </c>
      <c r="B86" s="167" t="str">
        <f>IF(ISBLANK(A86),"",VLOOKUP(A86,DOI_URL!$B$1:$C$74,2,FALSE()))</f>
        <v>https://drive.google.com/file/d/1pADV6CiRzv3ZSsdWF3wWAYPyhNn0Qr9k/view?usp=sharing</v>
      </c>
      <c r="C86" s="17" t="s">
        <v>3311</v>
      </c>
      <c r="D86" s="17" t="s">
        <v>3311</v>
      </c>
      <c r="E86" s="17" t="s">
        <v>219</v>
      </c>
      <c r="F86" s="17" t="s">
        <v>230</v>
      </c>
      <c r="G86" s="17" t="s">
        <v>231</v>
      </c>
      <c r="H86" s="17" t="s">
        <v>33</v>
      </c>
      <c r="I86" s="17" t="s">
        <v>54</v>
      </c>
      <c r="J86" s="17" t="s">
        <v>194</v>
      </c>
      <c r="K86" s="22"/>
      <c r="L86" s="22"/>
      <c r="M86" s="22"/>
      <c r="N86" s="22"/>
      <c r="O86" s="22"/>
      <c r="P86" s="22"/>
      <c r="Q86" s="22"/>
      <c r="R86" s="22"/>
      <c r="S86" s="22"/>
      <c r="T86" s="22"/>
      <c r="U86" s="22"/>
      <c r="V86" s="22"/>
      <c r="W86" s="22"/>
      <c r="X86" s="22"/>
      <c r="Y86" s="22"/>
      <c r="Z86" s="22"/>
      <c r="AA86" s="22"/>
      <c r="AB86" s="22"/>
      <c r="AC86" s="22"/>
      <c r="AD86" s="22"/>
      <c r="AE86" s="22"/>
    </row>
    <row r="87">
      <c r="A87" s="17" t="s">
        <v>189</v>
      </c>
      <c r="B87" s="167" t="str">
        <f>IF(ISBLANK(A87),"",VLOOKUP(A87,DOI_URL!$B$1:$C$74,2,FALSE()))</f>
        <v>https://drive.google.com/file/d/1pADV6CiRzv3ZSsdWF3wWAYPyhNn0Qr9k/view?usp=sharing</v>
      </c>
      <c r="C87" s="17" t="s">
        <v>3311</v>
      </c>
      <c r="D87" s="17" t="s">
        <v>3311</v>
      </c>
      <c r="E87" s="17" t="s">
        <v>233</v>
      </c>
      <c r="F87" s="17" t="s">
        <v>234</v>
      </c>
      <c r="G87" s="17" t="s">
        <v>235</v>
      </c>
      <c r="H87" s="17" t="s">
        <v>236</v>
      </c>
      <c r="I87" s="17" t="s">
        <v>54</v>
      </c>
      <c r="J87" s="17" t="s">
        <v>194</v>
      </c>
      <c r="K87" s="22"/>
      <c r="L87" s="22"/>
      <c r="M87" s="22"/>
      <c r="N87" s="22"/>
      <c r="O87" s="22"/>
      <c r="P87" s="22"/>
      <c r="Q87" s="22"/>
      <c r="R87" s="22"/>
      <c r="S87" s="22"/>
      <c r="T87" s="22"/>
      <c r="U87" s="22"/>
      <c r="V87" s="22"/>
      <c r="W87" s="22"/>
      <c r="X87" s="22"/>
      <c r="Y87" s="22"/>
      <c r="Z87" s="22"/>
      <c r="AA87" s="22"/>
      <c r="AB87" s="22"/>
      <c r="AC87" s="22"/>
      <c r="AD87" s="22"/>
      <c r="AE87" s="22"/>
    </row>
    <row r="88">
      <c r="A88" s="17" t="s">
        <v>189</v>
      </c>
      <c r="B88" s="167" t="str">
        <f>IF(ISBLANK(A88),"",VLOOKUP(A88,DOI_URL!$B$1:$C$74,2,FALSE()))</f>
        <v>https://drive.google.com/file/d/1pADV6CiRzv3ZSsdWF3wWAYPyhNn0Qr9k/view?usp=sharing</v>
      </c>
      <c r="C88" s="17" t="s">
        <v>3311</v>
      </c>
      <c r="D88" s="17" t="s">
        <v>3311</v>
      </c>
      <c r="E88" s="17" t="s">
        <v>239</v>
      </c>
      <c r="F88" s="17" t="s">
        <v>33</v>
      </c>
      <c r="G88" s="17" t="s">
        <v>240</v>
      </c>
      <c r="H88" s="22"/>
      <c r="I88" s="17" t="s">
        <v>44</v>
      </c>
      <c r="J88" s="17" t="s">
        <v>194</v>
      </c>
      <c r="K88" s="22"/>
      <c r="L88" s="22"/>
      <c r="M88" s="22"/>
      <c r="N88" s="22"/>
      <c r="O88" s="22"/>
      <c r="P88" s="22"/>
      <c r="Q88" s="22"/>
      <c r="R88" s="22"/>
      <c r="S88" s="22"/>
      <c r="T88" s="22"/>
      <c r="U88" s="22"/>
      <c r="V88" s="22"/>
      <c r="W88" s="22"/>
      <c r="X88" s="22"/>
      <c r="Y88" s="22"/>
      <c r="Z88" s="22"/>
      <c r="AA88" s="22"/>
      <c r="AB88" s="22"/>
      <c r="AC88" s="22"/>
      <c r="AD88" s="22"/>
      <c r="AE88" s="22"/>
    </row>
    <row r="89">
      <c r="A89" s="17" t="s">
        <v>189</v>
      </c>
      <c r="B89" s="167" t="str">
        <f>IF(ISBLANK(A89),"",VLOOKUP(A89,DOI_URL!$B$1:$C$74,2,FALSE()))</f>
        <v>https://drive.google.com/file/d/1pADV6CiRzv3ZSsdWF3wWAYPyhNn0Qr9k/view?usp=sharing</v>
      </c>
      <c r="C89" s="17" t="s">
        <v>3311</v>
      </c>
      <c r="D89" s="17" t="s">
        <v>3311</v>
      </c>
      <c r="E89" s="17" t="s">
        <v>239</v>
      </c>
      <c r="F89" s="168" t="s">
        <v>241</v>
      </c>
      <c r="G89" s="17" t="s">
        <v>242</v>
      </c>
      <c r="H89" s="17" t="s">
        <v>33</v>
      </c>
      <c r="I89" s="17" t="s">
        <v>44</v>
      </c>
      <c r="J89" s="17" t="s">
        <v>194</v>
      </c>
      <c r="K89" s="22"/>
      <c r="L89" s="22"/>
      <c r="M89" s="22"/>
      <c r="N89" s="22"/>
      <c r="O89" s="22"/>
      <c r="P89" s="22"/>
      <c r="Q89" s="22"/>
      <c r="R89" s="22"/>
      <c r="S89" s="22"/>
      <c r="T89" s="22"/>
      <c r="U89" s="22"/>
      <c r="V89" s="22"/>
      <c r="W89" s="22"/>
      <c r="X89" s="22"/>
      <c r="Y89" s="22"/>
      <c r="Z89" s="22"/>
      <c r="AA89" s="22"/>
      <c r="AB89" s="22"/>
      <c r="AC89" s="22"/>
      <c r="AD89" s="22"/>
      <c r="AE89" s="22"/>
    </row>
    <row r="90">
      <c r="A90" s="17" t="s">
        <v>189</v>
      </c>
      <c r="B90" s="167" t="str">
        <f>IF(ISBLANK(A90),"",VLOOKUP(A90,DOI_URL!$B$1:$C$74,2,FALSE()))</f>
        <v>https://drive.google.com/file/d/1pADV6CiRzv3ZSsdWF3wWAYPyhNn0Qr9k/view?usp=sharing</v>
      </c>
      <c r="C90" s="17" t="s">
        <v>3311</v>
      </c>
      <c r="D90" s="17" t="s">
        <v>3311</v>
      </c>
      <c r="E90" s="17" t="s">
        <v>239</v>
      </c>
      <c r="F90" s="168" t="s">
        <v>241</v>
      </c>
      <c r="G90" s="17" t="s">
        <v>243</v>
      </c>
      <c r="H90" s="17" t="s">
        <v>33</v>
      </c>
      <c r="I90" s="17" t="s">
        <v>106</v>
      </c>
      <c r="J90" s="17" t="s">
        <v>194</v>
      </c>
      <c r="K90" s="22"/>
      <c r="L90" s="22"/>
      <c r="M90" s="22"/>
      <c r="N90" s="22"/>
      <c r="O90" s="22"/>
      <c r="P90" s="22"/>
      <c r="Q90" s="22"/>
      <c r="R90" s="22"/>
      <c r="S90" s="22"/>
      <c r="T90" s="22"/>
      <c r="U90" s="22"/>
      <c r="V90" s="22"/>
      <c r="W90" s="22"/>
      <c r="X90" s="22"/>
      <c r="Y90" s="22"/>
      <c r="Z90" s="22"/>
      <c r="AA90" s="22"/>
      <c r="AB90" s="22"/>
      <c r="AC90" s="22"/>
      <c r="AD90" s="22"/>
      <c r="AE90" s="22"/>
    </row>
    <row r="91">
      <c r="A91" s="17" t="s">
        <v>189</v>
      </c>
      <c r="B91" s="167" t="str">
        <f>IF(ISBLANK(A91),"",VLOOKUP(A91,DOI_URL!$B$1:$C$74,2,FALSE()))</f>
        <v>https://drive.google.com/file/d/1pADV6CiRzv3ZSsdWF3wWAYPyhNn0Qr9k/view?usp=sharing</v>
      </c>
      <c r="C91" s="17" t="s">
        <v>3311</v>
      </c>
      <c r="D91" s="17" t="s">
        <v>3311</v>
      </c>
      <c r="E91" s="17" t="s">
        <v>245</v>
      </c>
      <c r="F91" s="17" t="s">
        <v>246</v>
      </c>
      <c r="G91" s="17" t="s">
        <v>247</v>
      </c>
      <c r="H91" s="17" t="s">
        <v>248</v>
      </c>
      <c r="I91" s="17" t="s">
        <v>54</v>
      </c>
      <c r="J91" s="17" t="s">
        <v>194</v>
      </c>
      <c r="K91" s="22"/>
      <c r="L91" s="22"/>
      <c r="M91" s="22"/>
      <c r="N91" s="22"/>
      <c r="O91" s="22"/>
      <c r="P91" s="22"/>
      <c r="Q91" s="22"/>
      <c r="R91" s="22"/>
      <c r="S91" s="22"/>
      <c r="T91" s="22"/>
      <c r="U91" s="22"/>
      <c r="V91" s="22"/>
      <c r="W91" s="22"/>
      <c r="X91" s="22"/>
      <c r="Y91" s="22"/>
      <c r="Z91" s="22"/>
      <c r="AA91" s="22"/>
      <c r="AB91" s="22"/>
      <c r="AC91" s="22"/>
      <c r="AD91" s="22"/>
      <c r="AE91" s="22"/>
    </row>
    <row r="92">
      <c r="A92" s="17" t="s">
        <v>189</v>
      </c>
      <c r="B92" s="167" t="str">
        <f>IF(ISBLANK(A92),"",VLOOKUP(A92,DOI_URL!$B$1:$C$74,2,FALSE()))</f>
        <v>https://drive.google.com/file/d/1pADV6CiRzv3ZSsdWF3wWAYPyhNn0Qr9k/view?usp=sharing</v>
      </c>
      <c r="C92" s="17" t="s">
        <v>3311</v>
      </c>
      <c r="D92" s="17" t="s">
        <v>3311</v>
      </c>
      <c r="E92" s="17" t="s">
        <v>250</v>
      </c>
      <c r="F92" s="17" t="s">
        <v>251</v>
      </c>
      <c r="G92" s="17" t="s">
        <v>252</v>
      </c>
      <c r="H92" s="17" t="s">
        <v>38</v>
      </c>
      <c r="I92" s="17" t="s">
        <v>39</v>
      </c>
      <c r="J92" s="17" t="s">
        <v>194</v>
      </c>
      <c r="K92" s="22"/>
      <c r="L92" s="22"/>
      <c r="M92" s="22"/>
      <c r="N92" s="22"/>
      <c r="O92" s="22"/>
      <c r="P92" s="22"/>
      <c r="Q92" s="22"/>
      <c r="R92" s="22"/>
      <c r="S92" s="22"/>
      <c r="T92" s="22"/>
      <c r="U92" s="22"/>
      <c r="V92" s="22"/>
      <c r="W92" s="22"/>
      <c r="X92" s="22"/>
      <c r="Y92" s="22"/>
      <c r="Z92" s="22"/>
      <c r="AA92" s="22"/>
      <c r="AB92" s="22"/>
      <c r="AC92" s="22"/>
      <c r="AD92" s="22"/>
      <c r="AE92" s="22"/>
    </row>
    <row r="93">
      <c r="A93" s="17" t="s">
        <v>189</v>
      </c>
      <c r="B93" s="167" t="str">
        <f>IF(ISBLANK(A93),"",VLOOKUP(A93,DOI_URL!$B$1:$C$74,2,FALSE()))</f>
        <v>https://drive.google.com/file/d/1pADV6CiRzv3ZSsdWF3wWAYPyhNn0Qr9k/view?usp=sharing</v>
      </c>
      <c r="C93" s="17" t="s">
        <v>3311</v>
      </c>
      <c r="D93" s="17" t="s">
        <v>3311</v>
      </c>
      <c r="E93" s="17" t="s">
        <v>250</v>
      </c>
      <c r="F93" s="17" t="s">
        <v>251</v>
      </c>
      <c r="G93" s="17" t="s">
        <v>254</v>
      </c>
      <c r="H93" s="17" t="s">
        <v>255</v>
      </c>
      <c r="I93" s="17" t="s">
        <v>39</v>
      </c>
      <c r="J93" s="17" t="s">
        <v>194</v>
      </c>
      <c r="K93" s="22"/>
      <c r="L93" s="22"/>
      <c r="M93" s="22"/>
      <c r="N93" s="22"/>
      <c r="O93" s="22"/>
      <c r="P93" s="22"/>
      <c r="Q93" s="22"/>
      <c r="R93" s="22"/>
      <c r="S93" s="22"/>
      <c r="T93" s="22"/>
      <c r="U93" s="22"/>
      <c r="V93" s="22"/>
      <c r="W93" s="22"/>
      <c r="X93" s="22"/>
      <c r="Y93" s="22"/>
      <c r="Z93" s="22"/>
      <c r="AA93" s="22"/>
      <c r="AB93" s="22"/>
      <c r="AC93" s="22"/>
      <c r="AD93" s="22"/>
      <c r="AE93" s="22"/>
    </row>
    <row r="94">
      <c r="A94" s="17" t="s">
        <v>256</v>
      </c>
      <c r="B94" s="167" t="str">
        <f>IF(ISBLANK(A94),"",VLOOKUP(A94,DOI_URL!$B$1:$C$74,2,FALSE()))</f>
        <v>https://drive.google.com/file/d/1NDirzzsj6hGtrKnSi0IChLHlr2ddQZYK/view?usp=sharing</v>
      </c>
      <c r="C94" s="17" t="s">
        <v>3311</v>
      </c>
      <c r="D94" s="17" t="s">
        <v>3311</v>
      </c>
      <c r="E94" s="17" t="s">
        <v>262</v>
      </c>
      <c r="F94" s="17" t="s">
        <v>263</v>
      </c>
      <c r="G94" s="17" t="s">
        <v>264</v>
      </c>
      <c r="H94" s="17" t="s">
        <v>2337</v>
      </c>
      <c r="I94" s="17" t="s">
        <v>14</v>
      </c>
      <c r="J94" s="17" t="s">
        <v>260</v>
      </c>
      <c r="K94" s="22"/>
      <c r="L94" s="22"/>
      <c r="M94" s="22"/>
      <c r="N94" s="22"/>
      <c r="O94" s="22"/>
      <c r="P94" s="22"/>
      <c r="Q94" s="22"/>
      <c r="R94" s="22"/>
      <c r="S94" s="22"/>
      <c r="T94" s="22"/>
      <c r="U94" s="22"/>
      <c r="V94" s="22"/>
      <c r="W94" s="22"/>
      <c r="X94" s="22"/>
      <c r="Y94" s="22"/>
      <c r="Z94" s="22"/>
      <c r="AA94" s="22"/>
      <c r="AB94" s="22"/>
      <c r="AC94" s="22"/>
      <c r="AD94" s="22"/>
      <c r="AE94" s="22"/>
    </row>
    <row r="95">
      <c r="A95" s="17" t="s">
        <v>256</v>
      </c>
      <c r="B95" s="167" t="str">
        <f>IF(ISBLANK(A95),"",VLOOKUP(A95,DOI_URL!$B$1:$C$74,2,FALSE()))</f>
        <v>https://drive.google.com/file/d/1NDirzzsj6hGtrKnSi0IChLHlr2ddQZYK/view?usp=sharing</v>
      </c>
      <c r="C95" s="17" t="s">
        <v>3311</v>
      </c>
      <c r="D95" s="17" t="s">
        <v>3311</v>
      </c>
      <c r="E95" s="17" t="s">
        <v>262</v>
      </c>
      <c r="F95" s="17" t="s">
        <v>263</v>
      </c>
      <c r="G95" s="17" t="s">
        <v>267</v>
      </c>
      <c r="H95" s="17" t="s">
        <v>2337</v>
      </c>
      <c r="I95" s="17" t="s">
        <v>14</v>
      </c>
      <c r="J95" s="17" t="s">
        <v>260</v>
      </c>
      <c r="K95" s="22"/>
      <c r="L95" s="22"/>
      <c r="M95" s="22"/>
      <c r="N95" s="22"/>
      <c r="O95" s="22"/>
      <c r="P95" s="22"/>
      <c r="Q95" s="22"/>
      <c r="R95" s="22"/>
      <c r="S95" s="22"/>
      <c r="T95" s="22"/>
      <c r="U95" s="22"/>
      <c r="V95" s="22"/>
      <c r="W95" s="22"/>
      <c r="X95" s="22"/>
      <c r="Y95" s="22"/>
      <c r="Z95" s="22"/>
      <c r="AA95" s="22"/>
      <c r="AB95" s="22"/>
      <c r="AC95" s="22"/>
      <c r="AD95" s="22"/>
      <c r="AE95" s="22"/>
    </row>
    <row r="96">
      <c r="A96" s="17" t="s">
        <v>256</v>
      </c>
      <c r="B96" s="167" t="str">
        <f>IF(ISBLANK(A96),"",VLOOKUP(A96,DOI_URL!$B$1:$C$74,2,FALSE()))</f>
        <v>https://drive.google.com/file/d/1NDirzzsj6hGtrKnSi0IChLHlr2ddQZYK/view?usp=sharing</v>
      </c>
      <c r="C96" s="17" t="s">
        <v>3311</v>
      </c>
      <c r="D96" s="17" t="s">
        <v>3311</v>
      </c>
      <c r="E96" s="17" t="s">
        <v>262</v>
      </c>
      <c r="F96" s="17" t="s">
        <v>263</v>
      </c>
      <c r="G96" s="17" t="s">
        <v>269</v>
      </c>
      <c r="H96" s="17" t="s">
        <v>2337</v>
      </c>
      <c r="I96" s="17" t="s">
        <v>14</v>
      </c>
      <c r="J96" s="17" t="s">
        <v>260</v>
      </c>
      <c r="K96" s="22"/>
      <c r="L96" s="22"/>
      <c r="M96" s="22"/>
      <c r="N96" s="22"/>
      <c r="O96" s="22"/>
      <c r="P96" s="22"/>
      <c r="Q96" s="22"/>
      <c r="R96" s="22"/>
      <c r="S96" s="22"/>
      <c r="T96" s="22"/>
      <c r="U96" s="22"/>
      <c r="V96" s="22"/>
      <c r="W96" s="22"/>
      <c r="X96" s="22"/>
      <c r="Y96" s="22"/>
      <c r="Z96" s="22"/>
      <c r="AA96" s="22"/>
      <c r="AB96" s="22"/>
      <c r="AC96" s="22"/>
      <c r="AD96" s="22"/>
      <c r="AE96" s="22"/>
    </row>
    <row r="97">
      <c r="A97" s="17" t="s">
        <v>256</v>
      </c>
      <c r="B97" s="167" t="str">
        <f>IF(ISBLANK(A97),"",VLOOKUP(A97,DOI_URL!$B$1:$C$74,2,FALSE()))</f>
        <v>https://drive.google.com/file/d/1NDirzzsj6hGtrKnSi0IChLHlr2ddQZYK/view?usp=sharing</v>
      </c>
      <c r="C97" s="17" t="s">
        <v>3311</v>
      </c>
      <c r="D97" s="17" t="s">
        <v>3311</v>
      </c>
      <c r="E97" s="17" t="s">
        <v>262</v>
      </c>
      <c r="F97" s="17" t="s">
        <v>263</v>
      </c>
      <c r="G97" s="17" t="s">
        <v>271</v>
      </c>
      <c r="H97" s="17" t="s">
        <v>2337</v>
      </c>
      <c r="I97" s="17" t="s">
        <v>14</v>
      </c>
      <c r="J97" s="17" t="s">
        <v>260</v>
      </c>
      <c r="K97" s="22"/>
      <c r="L97" s="22"/>
      <c r="M97" s="22"/>
      <c r="N97" s="22"/>
      <c r="O97" s="22"/>
      <c r="P97" s="22"/>
      <c r="Q97" s="22"/>
      <c r="R97" s="22"/>
      <c r="S97" s="22"/>
      <c r="T97" s="22"/>
      <c r="U97" s="22"/>
      <c r="V97" s="22"/>
      <c r="W97" s="22"/>
      <c r="X97" s="22"/>
      <c r="Y97" s="22"/>
      <c r="Z97" s="22"/>
      <c r="AA97" s="22"/>
      <c r="AB97" s="22"/>
      <c r="AC97" s="22"/>
      <c r="AD97" s="22"/>
      <c r="AE97" s="22"/>
    </row>
    <row r="98">
      <c r="A98" s="17" t="s">
        <v>256</v>
      </c>
      <c r="B98" s="167" t="str">
        <f>IF(ISBLANK(A98),"",VLOOKUP(A98,DOI_URL!$B$1:$C$74,2,FALSE()))</f>
        <v>https://drive.google.com/file/d/1NDirzzsj6hGtrKnSi0IChLHlr2ddQZYK/view?usp=sharing</v>
      </c>
      <c r="C98" s="17" t="s">
        <v>3311</v>
      </c>
      <c r="D98" s="17" t="s">
        <v>3311</v>
      </c>
      <c r="E98" s="17" t="s">
        <v>275</v>
      </c>
      <c r="F98" s="17" t="s">
        <v>33</v>
      </c>
      <c r="G98" s="17" t="s">
        <v>276</v>
      </c>
      <c r="H98" s="17" t="s">
        <v>2344</v>
      </c>
      <c r="I98" s="17" t="s">
        <v>44</v>
      </c>
      <c r="J98" s="17" t="s">
        <v>260</v>
      </c>
      <c r="K98" s="22"/>
      <c r="L98" s="22"/>
      <c r="M98" s="22"/>
      <c r="N98" s="22"/>
      <c r="O98" s="22"/>
      <c r="P98" s="22"/>
      <c r="Q98" s="22"/>
      <c r="R98" s="22"/>
      <c r="S98" s="22"/>
      <c r="T98" s="22"/>
      <c r="U98" s="22"/>
      <c r="V98" s="22"/>
      <c r="W98" s="22"/>
      <c r="X98" s="22"/>
      <c r="Y98" s="22"/>
      <c r="Z98" s="22"/>
      <c r="AA98" s="22"/>
      <c r="AB98" s="22"/>
      <c r="AC98" s="22"/>
      <c r="AD98" s="22"/>
      <c r="AE98" s="22"/>
    </row>
    <row r="99">
      <c r="A99" s="17" t="s">
        <v>256</v>
      </c>
      <c r="B99" s="167" t="str">
        <f>IF(ISBLANK(A99),"",VLOOKUP(A99,DOI_URL!$B$1:$C$74,2,FALSE()))</f>
        <v>https://drive.google.com/file/d/1NDirzzsj6hGtrKnSi0IChLHlr2ddQZYK/view?usp=sharing</v>
      </c>
      <c r="C99" s="17" t="s">
        <v>3311</v>
      </c>
      <c r="D99" s="17" t="s">
        <v>3311</v>
      </c>
      <c r="E99" s="17" t="s">
        <v>275</v>
      </c>
      <c r="F99" s="17" t="s">
        <v>279</v>
      </c>
      <c r="G99" s="17" t="s">
        <v>280</v>
      </c>
      <c r="H99" s="17" t="s">
        <v>33</v>
      </c>
      <c r="I99" s="17" t="s">
        <v>20</v>
      </c>
      <c r="J99" s="17" t="s">
        <v>260</v>
      </c>
      <c r="K99" s="22"/>
      <c r="L99" s="22"/>
      <c r="M99" s="22"/>
      <c r="N99" s="22"/>
      <c r="O99" s="22"/>
      <c r="P99" s="22"/>
      <c r="Q99" s="22"/>
      <c r="R99" s="22"/>
      <c r="S99" s="22"/>
      <c r="T99" s="22"/>
      <c r="U99" s="22"/>
      <c r="V99" s="22"/>
      <c r="W99" s="22"/>
      <c r="X99" s="22"/>
      <c r="Y99" s="22"/>
      <c r="Z99" s="22"/>
      <c r="AA99" s="22"/>
      <c r="AB99" s="22"/>
      <c r="AC99" s="22"/>
      <c r="AD99" s="22"/>
      <c r="AE99" s="22"/>
    </row>
    <row r="100">
      <c r="A100" s="17" t="s">
        <v>256</v>
      </c>
      <c r="B100" s="167" t="str">
        <f>IF(ISBLANK(A100),"",VLOOKUP(A100,DOI_URL!$B$1:$C$74,2,FALSE()))</f>
        <v>https://drive.google.com/file/d/1NDirzzsj6hGtrKnSi0IChLHlr2ddQZYK/view?usp=sharing</v>
      </c>
      <c r="C100" s="17" t="s">
        <v>3311</v>
      </c>
      <c r="D100" s="17" t="s">
        <v>3311</v>
      </c>
      <c r="E100" s="17" t="s">
        <v>275</v>
      </c>
      <c r="F100" s="17" t="s">
        <v>281</v>
      </c>
      <c r="G100" s="17" t="s">
        <v>282</v>
      </c>
      <c r="H100" s="17" t="s">
        <v>283</v>
      </c>
      <c r="I100" s="17" t="s">
        <v>39</v>
      </c>
      <c r="J100" s="17" t="s">
        <v>260</v>
      </c>
      <c r="K100" s="22"/>
      <c r="L100" s="22"/>
      <c r="M100" s="22"/>
      <c r="N100" s="22"/>
      <c r="O100" s="22"/>
      <c r="P100" s="22"/>
      <c r="Q100" s="22"/>
      <c r="R100" s="22"/>
      <c r="S100" s="22"/>
      <c r="T100" s="22"/>
      <c r="U100" s="22"/>
      <c r="V100" s="22"/>
      <c r="W100" s="22"/>
      <c r="X100" s="22"/>
      <c r="Y100" s="22"/>
      <c r="Z100" s="22"/>
      <c r="AA100" s="22"/>
      <c r="AB100" s="22"/>
      <c r="AC100" s="22"/>
      <c r="AD100" s="22"/>
      <c r="AE100" s="22"/>
    </row>
    <row r="101">
      <c r="A101" s="17" t="s">
        <v>256</v>
      </c>
      <c r="B101" s="167" t="str">
        <f>IF(ISBLANK(A101),"",VLOOKUP(A101,DOI_URL!$B$1:$C$74,2,FALSE()))</f>
        <v>https://drive.google.com/file/d/1NDirzzsj6hGtrKnSi0IChLHlr2ddQZYK/view?usp=sharing</v>
      </c>
      <c r="C101" s="17" t="s">
        <v>3311</v>
      </c>
      <c r="D101" s="17" t="s">
        <v>3311</v>
      </c>
      <c r="E101" s="17" t="s">
        <v>275</v>
      </c>
      <c r="F101" s="17" t="s">
        <v>281</v>
      </c>
      <c r="G101" s="17" t="s">
        <v>282</v>
      </c>
      <c r="H101" s="17" t="s">
        <v>2345</v>
      </c>
      <c r="I101" s="17" t="s">
        <v>39</v>
      </c>
      <c r="J101" s="17" t="s">
        <v>260</v>
      </c>
      <c r="K101" s="22"/>
      <c r="L101" s="22"/>
      <c r="M101" s="22"/>
      <c r="N101" s="22"/>
      <c r="O101" s="22"/>
      <c r="P101" s="22"/>
      <c r="Q101" s="22"/>
      <c r="R101" s="22"/>
      <c r="S101" s="22"/>
      <c r="T101" s="22"/>
      <c r="U101" s="22"/>
      <c r="V101" s="22"/>
      <c r="W101" s="22"/>
      <c r="X101" s="22"/>
      <c r="Y101" s="22"/>
      <c r="Z101" s="22"/>
      <c r="AA101" s="22"/>
      <c r="AB101" s="22"/>
      <c r="AC101" s="22"/>
      <c r="AD101" s="22"/>
      <c r="AE101" s="22"/>
    </row>
    <row r="102">
      <c r="A102" s="183" t="s">
        <v>284</v>
      </c>
      <c r="B102" s="184" t="str">
        <f>IF(ISBLANK(A102),"",VLOOKUP(A102,DOI_URL!$B$1:$C$74,2,FALSE()))</f>
        <v>https://drive.google.com/file/d/1RzUdAZn-3OjokGBJvFL0vVKQbrh17ONQ/view?usp=sharing</v>
      </c>
      <c r="C102" s="183" t="s">
        <v>3311</v>
      </c>
      <c r="D102" s="183" t="s">
        <v>3311</v>
      </c>
      <c r="E102" s="17" t="s">
        <v>286</v>
      </c>
      <c r="F102" s="185" t="s">
        <v>281</v>
      </c>
      <c r="G102" s="66" t="s">
        <v>287</v>
      </c>
      <c r="H102" s="22"/>
      <c r="I102" s="17" t="s">
        <v>39</v>
      </c>
      <c r="J102" s="17" t="s">
        <v>289</v>
      </c>
      <c r="K102" s="22"/>
      <c r="L102" s="22"/>
      <c r="M102" s="22"/>
      <c r="N102" s="22"/>
      <c r="O102" s="22"/>
      <c r="P102" s="22"/>
      <c r="Q102" s="22"/>
      <c r="R102" s="22"/>
      <c r="S102" s="22"/>
      <c r="T102" s="22"/>
      <c r="U102" s="22"/>
      <c r="V102" s="22"/>
      <c r="W102" s="22"/>
      <c r="X102" s="22"/>
      <c r="Y102" s="22"/>
      <c r="Z102" s="22"/>
      <c r="AA102" s="22"/>
      <c r="AB102" s="22"/>
      <c r="AC102" s="22"/>
      <c r="AD102" s="22"/>
      <c r="AE102" s="22"/>
    </row>
    <row r="103">
      <c r="A103" s="183" t="s">
        <v>284</v>
      </c>
      <c r="B103" s="184" t="str">
        <f>IF(ISBLANK(A103),"",VLOOKUP(A103,DOI_URL!$B$1:$C$74,2,FALSE()))</f>
        <v>https://drive.google.com/file/d/1RzUdAZn-3OjokGBJvFL0vVKQbrh17ONQ/view?usp=sharing</v>
      </c>
      <c r="C103" s="183" t="s">
        <v>3311</v>
      </c>
      <c r="D103" s="183" t="s">
        <v>3311</v>
      </c>
      <c r="E103" s="17" t="s">
        <v>290</v>
      </c>
      <c r="F103" s="17" t="s">
        <v>291</v>
      </c>
      <c r="G103" s="17" t="s">
        <v>292</v>
      </c>
      <c r="H103" s="17" t="s">
        <v>293</v>
      </c>
      <c r="I103" s="17" t="s">
        <v>14</v>
      </c>
      <c r="J103" s="17" t="s">
        <v>289</v>
      </c>
      <c r="K103" s="22"/>
      <c r="L103" s="22"/>
      <c r="M103" s="22"/>
      <c r="N103" s="22"/>
      <c r="O103" s="22"/>
      <c r="P103" s="22"/>
      <c r="Q103" s="22"/>
      <c r="R103" s="22"/>
      <c r="S103" s="22"/>
      <c r="T103" s="22"/>
      <c r="U103" s="22"/>
      <c r="V103" s="22"/>
      <c r="W103" s="22"/>
      <c r="X103" s="22"/>
      <c r="Y103" s="22"/>
      <c r="Z103" s="22"/>
      <c r="AA103" s="22"/>
      <c r="AB103" s="22"/>
      <c r="AC103" s="22"/>
      <c r="AD103" s="22"/>
      <c r="AE103" s="22"/>
    </row>
    <row r="104">
      <c r="A104" s="183" t="s">
        <v>284</v>
      </c>
      <c r="B104" s="184" t="str">
        <f>IF(ISBLANK(A104),"",VLOOKUP(A104,DOI_URL!$B$1:$C$74,2,FALSE()))</f>
        <v>https://drive.google.com/file/d/1RzUdAZn-3OjokGBJvFL0vVKQbrh17ONQ/view?usp=sharing</v>
      </c>
      <c r="C104" s="183" t="s">
        <v>3311</v>
      </c>
      <c r="D104" s="183" t="s">
        <v>3311</v>
      </c>
      <c r="E104" s="17" t="s">
        <v>290</v>
      </c>
      <c r="F104" s="17" t="s">
        <v>294</v>
      </c>
      <c r="G104" s="17" t="s">
        <v>295</v>
      </c>
      <c r="H104" s="17" t="s">
        <v>296</v>
      </c>
      <c r="I104" s="17" t="s">
        <v>14</v>
      </c>
      <c r="J104" s="17" t="s">
        <v>289</v>
      </c>
      <c r="K104" s="22"/>
      <c r="L104" s="22"/>
      <c r="M104" s="22"/>
      <c r="N104" s="22"/>
      <c r="O104" s="22"/>
      <c r="P104" s="22"/>
      <c r="Q104" s="22"/>
      <c r="R104" s="22"/>
      <c r="S104" s="22"/>
      <c r="T104" s="22"/>
      <c r="U104" s="22"/>
      <c r="V104" s="22"/>
      <c r="W104" s="22"/>
      <c r="X104" s="22"/>
      <c r="Y104" s="22"/>
      <c r="Z104" s="22"/>
      <c r="AA104" s="22"/>
      <c r="AB104" s="22"/>
      <c r="AC104" s="22"/>
      <c r="AD104" s="22"/>
      <c r="AE104" s="22"/>
    </row>
    <row r="105">
      <c r="A105" s="183" t="s">
        <v>284</v>
      </c>
      <c r="B105" s="184" t="str">
        <f>IF(ISBLANK(A105),"",VLOOKUP(A105,DOI_URL!$B$1:$C$74,2,FALSE()))</f>
        <v>https://drive.google.com/file/d/1RzUdAZn-3OjokGBJvFL0vVKQbrh17ONQ/view?usp=sharing</v>
      </c>
      <c r="C105" s="183" t="s">
        <v>3311</v>
      </c>
      <c r="D105" s="183" t="s">
        <v>3311</v>
      </c>
      <c r="E105" s="17" t="s">
        <v>290</v>
      </c>
      <c r="F105" s="17" t="s">
        <v>33</v>
      </c>
      <c r="G105" s="17" t="s">
        <v>300</v>
      </c>
      <c r="H105" s="17" t="s">
        <v>33</v>
      </c>
      <c r="I105" s="17" t="s">
        <v>14</v>
      </c>
      <c r="J105" s="22" t="s">
        <v>289</v>
      </c>
      <c r="K105" s="22"/>
      <c r="L105" s="22"/>
      <c r="M105" s="22"/>
      <c r="N105" s="22"/>
      <c r="O105" s="22"/>
      <c r="P105" s="22"/>
      <c r="Q105" s="22"/>
      <c r="R105" s="22"/>
      <c r="S105" s="22"/>
      <c r="T105" s="22"/>
      <c r="U105" s="22"/>
      <c r="V105" s="22"/>
      <c r="W105" s="22"/>
      <c r="X105" s="22"/>
      <c r="Y105" s="22"/>
      <c r="Z105" s="22"/>
      <c r="AA105" s="22"/>
      <c r="AB105" s="22"/>
      <c r="AC105" s="22"/>
      <c r="AD105" s="22"/>
      <c r="AE105" s="22"/>
    </row>
    <row r="106">
      <c r="A106" s="183" t="s">
        <v>284</v>
      </c>
      <c r="B106" s="184" t="str">
        <f>IF(ISBLANK(A106),"",VLOOKUP(A106,DOI_URL!$B$1:$C$74,2,FALSE()))</f>
        <v>https://drive.google.com/file/d/1RzUdAZn-3OjokGBJvFL0vVKQbrh17ONQ/view?usp=sharing</v>
      </c>
      <c r="C106" s="183" t="s">
        <v>3311</v>
      </c>
      <c r="D106" s="183" t="s">
        <v>3311</v>
      </c>
      <c r="E106" s="17" t="s">
        <v>290</v>
      </c>
      <c r="F106" s="17" t="s">
        <v>33</v>
      </c>
      <c r="G106" s="17" t="s">
        <v>302</v>
      </c>
      <c r="H106" s="17" t="s">
        <v>33</v>
      </c>
      <c r="I106" s="17" t="s">
        <v>14</v>
      </c>
      <c r="J106" s="22" t="s">
        <v>289</v>
      </c>
      <c r="K106" s="22"/>
      <c r="L106" s="22"/>
      <c r="M106" s="22"/>
      <c r="N106" s="22"/>
      <c r="O106" s="22"/>
      <c r="P106" s="22"/>
      <c r="Q106" s="22"/>
      <c r="R106" s="22"/>
      <c r="S106" s="22"/>
      <c r="T106" s="22"/>
      <c r="U106" s="22"/>
      <c r="V106" s="22"/>
      <c r="W106" s="22"/>
      <c r="X106" s="22"/>
      <c r="Y106" s="22"/>
      <c r="Z106" s="22"/>
      <c r="AA106" s="22"/>
      <c r="AB106" s="22"/>
      <c r="AC106" s="22"/>
      <c r="AD106" s="22"/>
      <c r="AE106" s="22"/>
    </row>
    <row r="107">
      <c r="A107" s="183" t="s">
        <v>284</v>
      </c>
      <c r="B107" s="184" t="str">
        <f>IF(ISBLANK(A107),"",VLOOKUP(A107,DOI_URL!$B$1:$C$74,2,FALSE()))</f>
        <v>https://drive.google.com/file/d/1RzUdAZn-3OjokGBJvFL0vVKQbrh17ONQ/view?usp=sharing</v>
      </c>
      <c r="C107" s="183" t="s">
        <v>3311</v>
      </c>
      <c r="D107" s="183" t="s">
        <v>3311</v>
      </c>
      <c r="E107" s="17" t="s">
        <v>303</v>
      </c>
      <c r="F107" s="17" t="s">
        <v>33</v>
      </c>
      <c r="G107" s="17" t="s">
        <v>304</v>
      </c>
      <c r="H107" s="17" t="s">
        <v>33</v>
      </c>
      <c r="I107" s="17" t="s">
        <v>44</v>
      </c>
      <c r="J107" s="22" t="s">
        <v>289</v>
      </c>
      <c r="K107" s="22"/>
      <c r="L107" s="22"/>
      <c r="M107" s="22"/>
      <c r="N107" s="22"/>
      <c r="O107" s="22"/>
      <c r="P107" s="22"/>
      <c r="Q107" s="22"/>
      <c r="R107" s="22"/>
      <c r="S107" s="22"/>
      <c r="T107" s="22"/>
      <c r="U107" s="22"/>
      <c r="V107" s="22"/>
      <c r="W107" s="22"/>
      <c r="X107" s="22"/>
      <c r="Y107" s="22"/>
      <c r="Z107" s="22"/>
      <c r="AA107" s="22"/>
      <c r="AB107" s="22"/>
      <c r="AC107" s="22"/>
      <c r="AD107" s="22"/>
      <c r="AE107" s="22"/>
    </row>
    <row r="108">
      <c r="A108" s="183" t="s">
        <v>284</v>
      </c>
      <c r="B108" s="184" t="str">
        <f>IF(ISBLANK(A108),"",VLOOKUP(A108,DOI_URL!$B$1:$C$74,2,FALSE()))</f>
        <v>https://drive.google.com/file/d/1RzUdAZn-3OjokGBJvFL0vVKQbrh17ONQ/view?usp=sharing</v>
      </c>
      <c r="C108" s="183" t="s">
        <v>3311</v>
      </c>
      <c r="D108" s="183" t="s">
        <v>3311</v>
      </c>
      <c r="E108" s="17" t="s">
        <v>306</v>
      </c>
      <c r="F108" s="17" t="s">
        <v>307</v>
      </c>
      <c r="G108" s="35" t="s">
        <v>3687</v>
      </c>
      <c r="H108" s="17" t="s">
        <v>309</v>
      </c>
      <c r="I108" s="17" t="s">
        <v>39</v>
      </c>
      <c r="J108" s="22" t="s">
        <v>289</v>
      </c>
      <c r="K108" s="22"/>
      <c r="L108" s="22"/>
      <c r="M108" s="22"/>
      <c r="N108" s="22"/>
      <c r="O108" s="22"/>
      <c r="P108" s="22"/>
      <c r="Q108" s="22"/>
      <c r="R108" s="22"/>
      <c r="S108" s="22"/>
      <c r="T108" s="22"/>
      <c r="U108" s="22"/>
      <c r="V108" s="22"/>
      <c r="W108" s="22"/>
      <c r="X108" s="22"/>
      <c r="Y108" s="22"/>
      <c r="Z108" s="22"/>
      <c r="AA108" s="22"/>
      <c r="AB108" s="22"/>
      <c r="AC108" s="22"/>
      <c r="AD108" s="22"/>
      <c r="AE108" s="22"/>
    </row>
    <row r="109">
      <c r="A109" s="183" t="s">
        <v>284</v>
      </c>
      <c r="B109" s="184" t="str">
        <f>IF(ISBLANK(A109),"",VLOOKUP(A109,DOI_URL!$B$1:$C$74,2,FALSE()))</f>
        <v>https://drive.google.com/file/d/1RzUdAZn-3OjokGBJvFL0vVKQbrh17ONQ/view?usp=sharing</v>
      </c>
      <c r="C109" s="183" t="s">
        <v>3311</v>
      </c>
      <c r="D109" s="183" t="s">
        <v>3311</v>
      </c>
      <c r="E109" s="17" t="s">
        <v>306</v>
      </c>
      <c r="F109" s="17" t="s">
        <v>307</v>
      </c>
      <c r="G109" s="17" t="s">
        <v>2361</v>
      </c>
      <c r="H109" s="17" t="s">
        <v>309</v>
      </c>
      <c r="I109" s="17" t="s">
        <v>39</v>
      </c>
      <c r="J109" s="22" t="s">
        <v>289</v>
      </c>
      <c r="K109" s="22"/>
      <c r="L109" s="22"/>
      <c r="M109" s="22"/>
      <c r="N109" s="22"/>
      <c r="O109" s="22"/>
      <c r="P109" s="22"/>
      <c r="Q109" s="22"/>
      <c r="R109" s="22"/>
      <c r="S109" s="22"/>
      <c r="T109" s="22"/>
      <c r="U109" s="22"/>
      <c r="V109" s="22"/>
      <c r="W109" s="22"/>
      <c r="X109" s="22"/>
      <c r="Y109" s="22"/>
      <c r="Z109" s="22"/>
      <c r="AA109" s="22"/>
      <c r="AB109" s="22"/>
      <c r="AC109" s="22"/>
      <c r="AD109" s="22"/>
      <c r="AE109" s="22"/>
    </row>
    <row r="110">
      <c r="A110" s="183" t="s">
        <v>284</v>
      </c>
      <c r="B110" s="184" t="str">
        <f>IF(ISBLANK(A110),"",VLOOKUP(A110,DOI_URL!$B$1:$C$74,2,FALSE()))</f>
        <v>https://drive.google.com/file/d/1RzUdAZn-3OjokGBJvFL0vVKQbrh17ONQ/view?usp=sharing</v>
      </c>
      <c r="C110" s="183" t="s">
        <v>3311</v>
      </c>
      <c r="D110" s="183" t="s">
        <v>3311</v>
      </c>
      <c r="E110" s="17" t="s">
        <v>310</v>
      </c>
      <c r="F110" s="17" t="s">
        <v>307</v>
      </c>
      <c r="G110" s="17" t="s">
        <v>311</v>
      </c>
      <c r="H110" s="17" t="s">
        <v>312</v>
      </c>
      <c r="I110" s="17" t="s">
        <v>39</v>
      </c>
      <c r="J110" s="22" t="s">
        <v>289</v>
      </c>
      <c r="K110" s="22"/>
      <c r="L110" s="22"/>
      <c r="M110" s="22"/>
      <c r="N110" s="22"/>
      <c r="O110" s="22"/>
      <c r="P110" s="22"/>
      <c r="Q110" s="22"/>
      <c r="R110" s="22"/>
      <c r="S110" s="22"/>
      <c r="T110" s="22"/>
      <c r="U110" s="22"/>
      <c r="V110" s="22"/>
      <c r="W110" s="22"/>
      <c r="X110" s="22"/>
      <c r="Y110" s="22"/>
      <c r="Z110" s="22"/>
      <c r="AA110" s="22"/>
      <c r="AB110" s="22"/>
      <c r="AC110" s="22"/>
      <c r="AD110" s="22"/>
      <c r="AE110" s="22"/>
    </row>
    <row r="111">
      <c r="A111" s="183" t="s">
        <v>284</v>
      </c>
      <c r="B111" s="184" t="str">
        <f>IF(ISBLANK(A111),"",VLOOKUP(A111,DOI_URL!$B$1:$C$74,2,FALSE()))</f>
        <v>https://drive.google.com/file/d/1RzUdAZn-3OjokGBJvFL0vVKQbrh17ONQ/view?usp=sharing</v>
      </c>
      <c r="C111" s="183" t="s">
        <v>3311</v>
      </c>
      <c r="D111" s="183" t="s">
        <v>3311</v>
      </c>
      <c r="E111" s="17" t="s">
        <v>310</v>
      </c>
      <c r="F111" s="17" t="s">
        <v>314</v>
      </c>
      <c r="G111" s="17" t="s">
        <v>315</v>
      </c>
      <c r="H111" s="17" t="s">
        <v>316</v>
      </c>
      <c r="I111" s="17" t="s">
        <v>39</v>
      </c>
      <c r="J111" s="22" t="s">
        <v>289</v>
      </c>
      <c r="K111" s="22"/>
      <c r="L111" s="22"/>
      <c r="M111" s="22"/>
      <c r="N111" s="22"/>
      <c r="O111" s="22"/>
      <c r="P111" s="22"/>
      <c r="Q111" s="22"/>
      <c r="R111" s="22"/>
      <c r="S111" s="22"/>
      <c r="T111" s="22"/>
      <c r="U111" s="22"/>
      <c r="V111" s="22"/>
      <c r="W111" s="22"/>
      <c r="X111" s="22"/>
      <c r="Y111" s="22"/>
      <c r="Z111" s="22"/>
      <c r="AA111" s="22"/>
      <c r="AB111" s="22"/>
      <c r="AC111" s="22"/>
      <c r="AD111" s="22"/>
      <c r="AE111" s="22"/>
    </row>
    <row r="112">
      <c r="A112" s="183" t="s">
        <v>284</v>
      </c>
      <c r="B112" s="184" t="str">
        <f>IF(ISBLANK(A112),"",VLOOKUP(A112,DOI_URL!$B$1:$C$74,2,FALSE()))</f>
        <v>https://drive.google.com/file/d/1RzUdAZn-3OjokGBJvFL0vVKQbrh17ONQ/view?usp=sharing</v>
      </c>
      <c r="C112" s="183" t="s">
        <v>3311</v>
      </c>
      <c r="D112" s="183" t="s">
        <v>3311</v>
      </c>
      <c r="E112" s="17" t="s">
        <v>310</v>
      </c>
      <c r="F112" s="17" t="s">
        <v>314</v>
      </c>
      <c r="G112" s="17" t="s">
        <v>317</v>
      </c>
      <c r="H112" s="17" t="s">
        <v>316</v>
      </c>
      <c r="I112" s="17" t="s">
        <v>39</v>
      </c>
      <c r="J112" s="22" t="s">
        <v>289</v>
      </c>
      <c r="K112" s="22"/>
      <c r="L112" s="22"/>
      <c r="M112" s="22"/>
      <c r="N112" s="22"/>
      <c r="O112" s="22"/>
      <c r="P112" s="22"/>
      <c r="Q112" s="22"/>
      <c r="R112" s="22"/>
      <c r="S112" s="22"/>
      <c r="T112" s="22"/>
      <c r="U112" s="22"/>
      <c r="V112" s="22"/>
      <c r="W112" s="22"/>
      <c r="X112" s="22"/>
      <c r="Y112" s="22"/>
      <c r="Z112" s="22"/>
      <c r="AA112" s="22"/>
      <c r="AB112" s="22"/>
      <c r="AC112" s="22"/>
      <c r="AD112" s="22"/>
      <c r="AE112" s="22"/>
    </row>
    <row r="113">
      <c r="A113" s="17" t="s">
        <v>2202</v>
      </c>
      <c r="B113" s="167" t="str">
        <f>IF(ISBLANK(A113),"",VLOOKUP(A113,DOI_URL!$B$1:$C$74,2,FALSE()))</f>
        <v>https://drive.google.com/file/d/1HsEfCIfU93ep7wpHXCQA2wgJGk6ZY7u-/view?usp=sharing</v>
      </c>
      <c r="C113" s="17" t="s">
        <v>3311</v>
      </c>
      <c r="D113" s="17" t="s">
        <v>3311</v>
      </c>
      <c r="E113" s="17" t="s">
        <v>2365</v>
      </c>
      <c r="F113" s="17" t="s">
        <v>2366</v>
      </c>
      <c r="G113" s="17" t="s">
        <v>2367</v>
      </c>
      <c r="H113" s="17" t="s">
        <v>2368</v>
      </c>
      <c r="I113" s="17" t="s">
        <v>54</v>
      </c>
      <c r="J113" s="17" t="s">
        <v>488</v>
      </c>
      <c r="K113" s="22"/>
      <c r="L113" s="22"/>
      <c r="M113" s="22"/>
      <c r="N113" s="22"/>
      <c r="O113" s="22"/>
      <c r="P113" s="22"/>
      <c r="Q113" s="22"/>
      <c r="R113" s="22"/>
      <c r="S113" s="22"/>
      <c r="T113" s="22"/>
      <c r="U113" s="22"/>
      <c r="V113" s="22"/>
      <c r="W113" s="22"/>
      <c r="X113" s="22"/>
      <c r="Y113" s="22"/>
      <c r="Z113" s="22"/>
      <c r="AA113" s="22"/>
      <c r="AB113" s="22"/>
      <c r="AC113" s="22"/>
      <c r="AD113" s="22"/>
      <c r="AE113" s="22"/>
    </row>
    <row r="114">
      <c r="A114" s="17" t="s">
        <v>2202</v>
      </c>
      <c r="B114" s="167" t="str">
        <f>IF(ISBLANK(A114),"",VLOOKUP(A114,DOI_URL!$B$1:$C$74,2,FALSE()))</f>
        <v>https://drive.google.com/file/d/1HsEfCIfU93ep7wpHXCQA2wgJGk6ZY7u-/view?usp=sharing</v>
      </c>
      <c r="C114" s="17" t="s">
        <v>3311</v>
      </c>
      <c r="D114" s="17" t="s">
        <v>3311</v>
      </c>
      <c r="E114" s="17" t="s">
        <v>2365</v>
      </c>
      <c r="F114" s="17" t="s">
        <v>412</v>
      </c>
      <c r="G114" s="17" t="s">
        <v>2370</v>
      </c>
      <c r="H114" s="17" t="s">
        <v>2371</v>
      </c>
      <c r="I114" s="17" t="s">
        <v>54</v>
      </c>
      <c r="J114" s="17" t="s">
        <v>488</v>
      </c>
      <c r="K114" s="22"/>
      <c r="L114" s="22"/>
      <c r="M114" s="22"/>
      <c r="N114" s="22"/>
      <c r="O114" s="22"/>
      <c r="P114" s="22"/>
      <c r="Q114" s="22"/>
      <c r="R114" s="22"/>
      <c r="S114" s="22"/>
      <c r="T114" s="22"/>
      <c r="U114" s="22"/>
      <c r="V114" s="22"/>
      <c r="W114" s="22"/>
      <c r="X114" s="22"/>
      <c r="Y114" s="22"/>
      <c r="Z114" s="22"/>
      <c r="AA114" s="22"/>
      <c r="AB114" s="22"/>
      <c r="AC114" s="22"/>
      <c r="AD114" s="22"/>
      <c r="AE114" s="22"/>
    </row>
    <row r="115">
      <c r="A115" s="17" t="s">
        <v>2202</v>
      </c>
      <c r="B115" s="167" t="str">
        <f>IF(ISBLANK(A115),"",VLOOKUP(A115,DOI_URL!$B$1:$C$74,2,FALSE()))</f>
        <v>https://drive.google.com/file/d/1HsEfCIfU93ep7wpHXCQA2wgJGk6ZY7u-/view?usp=sharing</v>
      </c>
      <c r="C115" s="17" t="s">
        <v>3311</v>
      </c>
      <c r="D115" s="17" t="s">
        <v>3311</v>
      </c>
      <c r="E115" s="17" t="s">
        <v>2365</v>
      </c>
      <c r="F115" s="17" t="s">
        <v>412</v>
      </c>
      <c r="G115" s="17" t="s">
        <v>2372</v>
      </c>
      <c r="H115" s="17" t="s">
        <v>2373</v>
      </c>
      <c r="I115" s="17" t="s">
        <v>39</v>
      </c>
      <c r="J115" s="17" t="s">
        <v>488</v>
      </c>
      <c r="K115" s="22"/>
      <c r="L115" s="22"/>
      <c r="M115" s="22"/>
      <c r="N115" s="22"/>
      <c r="O115" s="22"/>
      <c r="P115" s="22"/>
      <c r="Q115" s="22"/>
      <c r="R115" s="22"/>
      <c r="S115" s="22"/>
      <c r="T115" s="22"/>
      <c r="U115" s="22"/>
      <c r="V115" s="22"/>
      <c r="W115" s="22"/>
      <c r="X115" s="22"/>
      <c r="Y115" s="22"/>
      <c r="Z115" s="22"/>
      <c r="AA115" s="22"/>
      <c r="AB115" s="22"/>
      <c r="AC115" s="22"/>
      <c r="AD115" s="22"/>
      <c r="AE115" s="22"/>
    </row>
    <row r="116">
      <c r="A116" s="17" t="s">
        <v>318</v>
      </c>
      <c r="B116" s="167" t="str">
        <f>IF(ISBLANK(A116),"",VLOOKUP(A116,DOI_URL!$B$1:$C$74,2,FALSE()))</f>
        <v>https://drive.google.com/file/d/18hOu_Vl0iiLBPdw2h2Ey3u--XxLeGKLf/view?usp=sharing</v>
      </c>
      <c r="C116" s="17" t="s">
        <v>3311</v>
      </c>
      <c r="D116" s="17" t="s">
        <v>3311</v>
      </c>
      <c r="E116" s="17" t="s">
        <v>319</v>
      </c>
      <c r="F116" s="17" t="s">
        <v>33</v>
      </c>
      <c r="G116" s="17" t="s">
        <v>320</v>
      </c>
      <c r="H116" s="17" t="s">
        <v>33</v>
      </c>
      <c r="I116" s="17" t="s">
        <v>44</v>
      </c>
      <c r="J116" s="17" t="s">
        <v>322</v>
      </c>
      <c r="K116" s="22"/>
      <c r="L116" s="22"/>
      <c r="M116" s="22"/>
      <c r="N116" s="22"/>
      <c r="O116" s="22"/>
      <c r="P116" s="22"/>
      <c r="Q116" s="22"/>
      <c r="R116" s="22"/>
      <c r="S116" s="22"/>
      <c r="T116" s="22"/>
      <c r="U116" s="22"/>
      <c r="V116" s="22"/>
      <c r="W116" s="22"/>
      <c r="X116" s="22"/>
      <c r="Y116" s="22"/>
      <c r="Z116" s="22"/>
      <c r="AA116" s="22"/>
      <c r="AB116" s="22"/>
      <c r="AC116" s="22"/>
      <c r="AD116" s="22"/>
      <c r="AE116" s="22"/>
    </row>
    <row r="117">
      <c r="A117" s="17" t="s">
        <v>318</v>
      </c>
      <c r="B117" s="167" t="str">
        <f>IF(ISBLANK(A117),"",VLOOKUP(A117,DOI_URL!$B$1:$C$74,2,FALSE()))</f>
        <v>https://drive.google.com/file/d/18hOu_Vl0iiLBPdw2h2Ey3u--XxLeGKLf/view?usp=sharing</v>
      </c>
      <c r="C117" s="17" t="s">
        <v>3311</v>
      </c>
      <c r="D117" s="17" t="s">
        <v>3311</v>
      </c>
      <c r="E117" s="17" t="s">
        <v>323</v>
      </c>
      <c r="F117" s="35" t="s">
        <v>803</v>
      </c>
      <c r="G117" s="17" t="s">
        <v>324</v>
      </c>
      <c r="H117" s="17" t="s">
        <v>325</v>
      </c>
      <c r="I117" s="17" t="s">
        <v>20</v>
      </c>
      <c r="J117" s="17" t="s">
        <v>322</v>
      </c>
      <c r="K117" s="22"/>
      <c r="L117" s="22"/>
      <c r="M117" s="22"/>
      <c r="N117" s="22"/>
      <c r="O117" s="22"/>
      <c r="P117" s="22"/>
      <c r="Q117" s="22"/>
      <c r="R117" s="22"/>
      <c r="S117" s="22"/>
      <c r="T117" s="22"/>
      <c r="U117" s="22"/>
      <c r="V117" s="22"/>
      <c r="W117" s="22"/>
      <c r="X117" s="22"/>
      <c r="Y117" s="22"/>
      <c r="Z117" s="22"/>
      <c r="AA117" s="22"/>
      <c r="AB117" s="22"/>
      <c r="AC117" s="22"/>
      <c r="AD117" s="22"/>
      <c r="AE117" s="22"/>
    </row>
    <row r="118">
      <c r="A118" s="17" t="s">
        <v>318</v>
      </c>
      <c r="B118" s="167" t="str">
        <f>IF(ISBLANK(A118),"",VLOOKUP(A118,DOI_URL!$B$1:$C$74,2,FALSE()))</f>
        <v>https://drive.google.com/file/d/18hOu_Vl0iiLBPdw2h2Ey3u--XxLeGKLf/view?usp=sharing</v>
      </c>
      <c r="C118" s="17" t="s">
        <v>3311</v>
      </c>
      <c r="D118" s="17" t="s">
        <v>3311</v>
      </c>
      <c r="E118" s="17" t="s">
        <v>326</v>
      </c>
      <c r="F118" s="17" t="s">
        <v>327</v>
      </c>
      <c r="G118" s="17" t="s">
        <v>328</v>
      </c>
      <c r="H118" s="17" t="s">
        <v>33</v>
      </c>
      <c r="I118" s="17" t="s">
        <v>20</v>
      </c>
      <c r="J118" s="17" t="s">
        <v>322</v>
      </c>
      <c r="K118" s="22"/>
      <c r="L118" s="22"/>
      <c r="M118" s="22"/>
      <c r="N118" s="22"/>
      <c r="O118" s="22"/>
      <c r="P118" s="22"/>
      <c r="Q118" s="22"/>
      <c r="R118" s="22"/>
      <c r="S118" s="22"/>
      <c r="T118" s="22"/>
      <c r="U118" s="22"/>
      <c r="V118" s="22"/>
      <c r="W118" s="22"/>
      <c r="X118" s="22"/>
      <c r="Y118" s="22"/>
      <c r="Z118" s="22"/>
      <c r="AA118" s="22"/>
      <c r="AB118" s="22"/>
      <c r="AC118" s="22"/>
      <c r="AD118" s="22"/>
      <c r="AE118" s="22"/>
    </row>
    <row r="119">
      <c r="A119" s="17" t="s">
        <v>318</v>
      </c>
      <c r="B119" s="167" t="str">
        <f>IF(ISBLANK(A119),"",VLOOKUP(A119,DOI_URL!$B$1:$C$74,2,FALSE()))</f>
        <v>https://drive.google.com/file/d/18hOu_Vl0iiLBPdw2h2Ey3u--XxLeGKLf/view?usp=sharing</v>
      </c>
      <c r="C119" s="17" t="s">
        <v>3311</v>
      </c>
      <c r="D119" s="17" t="s">
        <v>3311</v>
      </c>
      <c r="E119" s="17" t="s">
        <v>326</v>
      </c>
      <c r="F119" s="17" t="s">
        <v>329</v>
      </c>
      <c r="G119" s="35" t="s">
        <v>3688</v>
      </c>
      <c r="H119" s="17" t="s">
        <v>331</v>
      </c>
      <c r="I119" s="17" t="s">
        <v>39</v>
      </c>
      <c r="J119" s="17" t="s">
        <v>322</v>
      </c>
      <c r="K119" s="22"/>
      <c r="L119" s="22"/>
      <c r="M119" s="22"/>
      <c r="N119" s="22"/>
      <c r="O119" s="22"/>
      <c r="P119" s="22"/>
      <c r="Q119" s="22"/>
      <c r="R119" s="22"/>
      <c r="S119" s="22"/>
      <c r="T119" s="22"/>
      <c r="U119" s="22"/>
      <c r="V119" s="22"/>
      <c r="W119" s="22"/>
      <c r="X119" s="22"/>
      <c r="Y119" s="22"/>
      <c r="Z119" s="22"/>
      <c r="AA119" s="22"/>
      <c r="AB119" s="22"/>
      <c r="AC119" s="22"/>
      <c r="AD119" s="22"/>
      <c r="AE119" s="22"/>
    </row>
    <row r="120">
      <c r="A120" s="17" t="s">
        <v>318</v>
      </c>
      <c r="B120" s="167" t="str">
        <f>IF(ISBLANK(A120),"",VLOOKUP(A120,DOI_URL!$B$1:$C$74,2,FALSE()))</f>
        <v>https://drive.google.com/file/d/18hOu_Vl0iiLBPdw2h2Ey3u--XxLeGKLf/view?usp=sharing</v>
      </c>
      <c r="C120" s="17" t="s">
        <v>3311</v>
      </c>
      <c r="D120" s="17" t="s">
        <v>3311</v>
      </c>
      <c r="E120" s="17" t="s">
        <v>326</v>
      </c>
      <c r="F120" s="17" t="s">
        <v>333</v>
      </c>
      <c r="G120" s="17" t="s">
        <v>334</v>
      </c>
      <c r="H120" s="17" t="s">
        <v>2383</v>
      </c>
      <c r="I120" s="17" t="s">
        <v>39</v>
      </c>
      <c r="J120" s="17" t="s">
        <v>322</v>
      </c>
      <c r="K120" s="22"/>
      <c r="L120" s="22"/>
      <c r="M120" s="22"/>
      <c r="N120" s="22"/>
      <c r="O120" s="22"/>
      <c r="P120" s="22"/>
      <c r="Q120" s="22"/>
      <c r="R120" s="22"/>
      <c r="S120" s="22"/>
      <c r="T120" s="22"/>
      <c r="U120" s="22"/>
      <c r="V120" s="22"/>
      <c r="W120" s="22"/>
      <c r="X120" s="22"/>
      <c r="Y120" s="22"/>
      <c r="Z120" s="22"/>
      <c r="AA120" s="22"/>
      <c r="AB120" s="22"/>
      <c r="AC120" s="22"/>
      <c r="AD120" s="22"/>
      <c r="AE120" s="22"/>
    </row>
    <row r="121">
      <c r="A121" s="17" t="s">
        <v>318</v>
      </c>
      <c r="B121" s="167" t="str">
        <f>IF(ISBLANK(A121),"",VLOOKUP(A121,DOI_URL!$B$1:$C$74,2,FALSE()))</f>
        <v>https://drive.google.com/file/d/18hOu_Vl0iiLBPdw2h2Ey3u--XxLeGKLf/view?usp=sharing</v>
      </c>
      <c r="C121" s="17" t="s">
        <v>3311</v>
      </c>
      <c r="D121" s="17" t="s">
        <v>3311</v>
      </c>
      <c r="E121" s="17" t="s">
        <v>326</v>
      </c>
      <c r="F121" s="17" t="s">
        <v>333</v>
      </c>
      <c r="G121" s="17" t="s">
        <v>336</v>
      </c>
      <c r="H121" s="17" t="s">
        <v>337</v>
      </c>
      <c r="I121" s="17" t="s">
        <v>39</v>
      </c>
      <c r="J121" s="17" t="s">
        <v>322</v>
      </c>
      <c r="K121" s="22"/>
      <c r="L121" s="22"/>
      <c r="M121" s="22"/>
      <c r="N121" s="22"/>
      <c r="O121" s="22"/>
      <c r="P121" s="22"/>
      <c r="Q121" s="22"/>
      <c r="R121" s="22"/>
      <c r="S121" s="22"/>
      <c r="T121" s="22"/>
      <c r="U121" s="22"/>
      <c r="V121" s="22"/>
      <c r="W121" s="22"/>
      <c r="X121" s="22"/>
      <c r="Y121" s="22"/>
      <c r="Z121" s="22"/>
      <c r="AA121" s="22"/>
      <c r="AB121" s="22"/>
      <c r="AC121" s="22"/>
      <c r="AD121" s="22"/>
      <c r="AE121" s="22"/>
    </row>
    <row r="122">
      <c r="A122" s="17" t="s">
        <v>318</v>
      </c>
      <c r="B122" s="167" t="str">
        <f>IF(ISBLANK(A122),"",VLOOKUP(A122,DOI_URL!$B$1:$C$74,2,FALSE()))</f>
        <v>https://drive.google.com/file/d/18hOu_Vl0iiLBPdw2h2Ey3u--XxLeGKLf/view?usp=sharing</v>
      </c>
      <c r="C122" s="17" t="s">
        <v>3311</v>
      </c>
      <c r="D122" s="17" t="s">
        <v>3311</v>
      </c>
      <c r="E122" s="17" t="s">
        <v>326</v>
      </c>
      <c r="F122" s="17" t="s">
        <v>333</v>
      </c>
      <c r="G122" s="17" t="s">
        <v>339</v>
      </c>
      <c r="H122" s="17" t="s">
        <v>33</v>
      </c>
      <c r="I122" s="17" t="s">
        <v>39</v>
      </c>
      <c r="J122" s="17" t="s">
        <v>322</v>
      </c>
      <c r="K122" s="22"/>
      <c r="L122" s="22"/>
      <c r="M122" s="22"/>
      <c r="N122" s="22"/>
      <c r="O122" s="22"/>
      <c r="P122" s="22"/>
      <c r="Q122" s="22"/>
      <c r="R122" s="22"/>
      <c r="S122" s="22"/>
      <c r="T122" s="22"/>
      <c r="U122" s="22"/>
      <c r="V122" s="22"/>
      <c r="W122" s="22"/>
      <c r="X122" s="22"/>
      <c r="Y122" s="22"/>
      <c r="Z122" s="22"/>
      <c r="AA122" s="22"/>
      <c r="AB122" s="22"/>
      <c r="AC122" s="22"/>
      <c r="AD122" s="22"/>
      <c r="AE122" s="22"/>
    </row>
    <row r="123">
      <c r="A123" s="17" t="s">
        <v>341</v>
      </c>
      <c r="B123" s="167" t="str">
        <f>IF(ISBLANK(A123),"",VLOOKUP(A123,DOI_URL!$B$1:$C$74,2,FALSE()))</f>
        <v>https://drive.google.com/file/d/1AxOtfUTigUGp6nWYUpPh1cw26-9vqQ2t/view?usp=sharing</v>
      </c>
      <c r="C123" s="17" t="s">
        <v>3311</v>
      </c>
      <c r="D123" s="17" t="s">
        <v>3311</v>
      </c>
      <c r="E123" s="17" t="s">
        <v>2393</v>
      </c>
      <c r="F123" s="17" t="s">
        <v>344</v>
      </c>
      <c r="G123" s="17" t="s">
        <v>345</v>
      </c>
      <c r="H123" s="17" t="s">
        <v>346</v>
      </c>
      <c r="I123" s="17" t="s">
        <v>54</v>
      </c>
      <c r="J123" s="17" t="s">
        <v>347</v>
      </c>
      <c r="K123" s="22"/>
      <c r="L123" s="22"/>
      <c r="M123" s="22"/>
      <c r="N123" s="22"/>
      <c r="O123" s="22"/>
      <c r="P123" s="22"/>
      <c r="Q123" s="22"/>
      <c r="R123" s="22"/>
      <c r="S123" s="22"/>
      <c r="T123" s="22"/>
      <c r="U123" s="22"/>
      <c r="V123" s="22"/>
      <c r="W123" s="22"/>
      <c r="X123" s="22"/>
      <c r="Y123" s="22"/>
      <c r="Z123" s="22"/>
      <c r="AA123" s="22"/>
      <c r="AB123" s="22"/>
      <c r="AC123" s="22"/>
      <c r="AD123" s="22"/>
      <c r="AE123" s="22"/>
    </row>
    <row r="124">
      <c r="A124" s="17" t="s">
        <v>341</v>
      </c>
      <c r="B124" s="167" t="str">
        <f>IF(ISBLANK(A124),"",VLOOKUP(A124,DOI_URL!$B$1:$C$74,2,FALSE()))</f>
        <v>https://drive.google.com/file/d/1AxOtfUTigUGp6nWYUpPh1cw26-9vqQ2t/view?usp=sharing</v>
      </c>
      <c r="C124" s="17" t="s">
        <v>3311</v>
      </c>
      <c r="D124" s="17" t="s">
        <v>3311</v>
      </c>
      <c r="E124" s="17" t="s">
        <v>2393</v>
      </c>
      <c r="F124" s="17" t="s">
        <v>348</v>
      </c>
      <c r="G124" s="17" t="s">
        <v>2394</v>
      </c>
      <c r="H124" s="17" t="s">
        <v>350</v>
      </c>
      <c r="I124" s="17" t="s">
        <v>54</v>
      </c>
      <c r="J124" s="17" t="s">
        <v>347</v>
      </c>
      <c r="K124" s="22"/>
      <c r="L124" s="22"/>
      <c r="M124" s="22"/>
      <c r="N124" s="22"/>
      <c r="O124" s="22"/>
      <c r="P124" s="22"/>
      <c r="Q124" s="22"/>
      <c r="R124" s="22"/>
      <c r="S124" s="22"/>
      <c r="T124" s="22"/>
      <c r="U124" s="22"/>
      <c r="V124" s="22"/>
      <c r="W124" s="22"/>
      <c r="X124" s="22"/>
      <c r="Y124" s="22"/>
      <c r="Z124" s="22"/>
      <c r="AA124" s="22"/>
      <c r="AB124" s="22"/>
      <c r="AC124" s="22"/>
      <c r="AD124" s="22"/>
      <c r="AE124" s="22"/>
    </row>
    <row r="125">
      <c r="A125" s="17" t="s">
        <v>341</v>
      </c>
      <c r="B125" s="167" t="str">
        <f>IF(ISBLANK(A125),"",VLOOKUP(A125,DOI_URL!$B$1:$C$74,2,FALSE()))</f>
        <v>https://drive.google.com/file/d/1AxOtfUTigUGp6nWYUpPh1cw26-9vqQ2t/view?usp=sharing</v>
      </c>
      <c r="C125" s="17" t="s">
        <v>3311</v>
      </c>
      <c r="D125" s="17" t="s">
        <v>3311</v>
      </c>
      <c r="E125" s="17" t="s">
        <v>2393</v>
      </c>
      <c r="F125" s="17" t="s">
        <v>2395</v>
      </c>
      <c r="G125" s="17" t="s">
        <v>2396</v>
      </c>
      <c r="H125" s="17" t="s">
        <v>2397</v>
      </c>
      <c r="I125" s="17" t="s">
        <v>54</v>
      </c>
      <c r="J125" s="17" t="s">
        <v>347</v>
      </c>
      <c r="K125" s="22"/>
      <c r="L125" s="22"/>
      <c r="M125" s="22"/>
      <c r="N125" s="22"/>
      <c r="O125" s="22"/>
      <c r="P125" s="22"/>
      <c r="Q125" s="22"/>
      <c r="R125" s="22"/>
      <c r="S125" s="22"/>
      <c r="T125" s="22"/>
      <c r="U125" s="22"/>
      <c r="V125" s="22"/>
      <c r="W125" s="22"/>
      <c r="X125" s="22"/>
      <c r="Y125" s="22"/>
      <c r="Z125" s="22"/>
      <c r="AA125" s="22"/>
      <c r="AB125" s="22"/>
      <c r="AC125" s="22"/>
      <c r="AD125" s="22"/>
      <c r="AE125" s="22"/>
    </row>
    <row r="126">
      <c r="A126" s="17" t="s">
        <v>341</v>
      </c>
      <c r="B126" s="167" t="str">
        <f>IF(ISBLANK(A126),"",VLOOKUP(A126,DOI_URL!$B$1:$C$74,2,FALSE()))</f>
        <v>https://drive.google.com/file/d/1AxOtfUTigUGp6nWYUpPh1cw26-9vqQ2t/view?usp=sharing</v>
      </c>
      <c r="C126" s="17" t="s">
        <v>3311</v>
      </c>
      <c r="D126" s="17" t="s">
        <v>3311</v>
      </c>
      <c r="E126" s="17" t="s">
        <v>354</v>
      </c>
      <c r="F126" s="17" t="s">
        <v>33</v>
      </c>
      <c r="G126" s="17" t="s">
        <v>355</v>
      </c>
      <c r="H126" s="17" t="s">
        <v>33</v>
      </c>
      <c r="I126" s="17" t="s">
        <v>91</v>
      </c>
      <c r="J126" s="17" t="s">
        <v>347</v>
      </c>
      <c r="K126" s="22"/>
      <c r="L126" s="22"/>
      <c r="M126" s="22"/>
      <c r="N126" s="22"/>
      <c r="O126" s="22"/>
      <c r="P126" s="22"/>
      <c r="Q126" s="22"/>
      <c r="R126" s="22"/>
      <c r="S126" s="22"/>
      <c r="T126" s="22"/>
      <c r="U126" s="22"/>
      <c r="V126" s="22"/>
      <c r="W126" s="22"/>
      <c r="X126" s="22"/>
      <c r="Y126" s="22"/>
      <c r="Z126" s="22"/>
      <c r="AA126" s="22"/>
      <c r="AB126" s="22"/>
      <c r="AC126" s="22"/>
      <c r="AD126" s="22"/>
      <c r="AE126" s="22"/>
    </row>
    <row r="127">
      <c r="A127" s="17" t="s">
        <v>369</v>
      </c>
      <c r="B127" s="167" t="str">
        <f>IF(ISBLANK(A127),"",VLOOKUP(A127,DOI_URL!$B$1:$C$74,2,FALSE()))</f>
        <v>https://drive.google.com/file/d/1N0m-gh-0vYEXJsfBFc5eTKSdH0YIsn92/view?usp=sharing</v>
      </c>
      <c r="C127" s="17" t="s">
        <v>3311</v>
      </c>
      <c r="D127" s="17" t="s">
        <v>3311</v>
      </c>
      <c r="E127" s="17" t="s">
        <v>370</v>
      </c>
      <c r="F127" s="35" t="s">
        <v>803</v>
      </c>
      <c r="G127" s="17" t="s">
        <v>2402</v>
      </c>
      <c r="H127" s="17" t="s">
        <v>33</v>
      </c>
      <c r="I127" s="17" t="s">
        <v>91</v>
      </c>
      <c r="J127" s="17" t="s">
        <v>372</v>
      </c>
      <c r="K127" s="22"/>
      <c r="L127" s="22"/>
      <c r="M127" s="22"/>
      <c r="N127" s="22"/>
      <c r="O127" s="22"/>
      <c r="P127" s="22"/>
      <c r="Q127" s="22"/>
      <c r="R127" s="22"/>
      <c r="S127" s="22"/>
      <c r="T127" s="22"/>
      <c r="U127" s="22"/>
      <c r="V127" s="22"/>
      <c r="W127" s="22"/>
      <c r="X127" s="22"/>
      <c r="Y127" s="22"/>
      <c r="Z127" s="22"/>
      <c r="AA127" s="22"/>
      <c r="AB127" s="22"/>
      <c r="AC127" s="22"/>
      <c r="AD127" s="22"/>
      <c r="AE127" s="22"/>
    </row>
    <row r="128">
      <c r="A128" s="17" t="s">
        <v>369</v>
      </c>
      <c r="B128" s="167" t="str">
        <f>IF(ISBLANK(A128),"",VLOOKUP(A128,DOI_URL!$B$1:$C$74,2,FALSE()))</f>
        <v>https://drive.google.com/file/d/1N0m-gh-0vYEXJsfBFc5eTKSdH0YIsn92/view?usp=sharing</v>
      </c>
      <c r="C128" s="17" t="s">
        <v>3311</v>
      </c>
      <c r="D128" s="17" t="s">
        <v>3311</v>
      </c>
      <c r="E128" s="17" t="s">
        <v>373</v>
      </c>
      <c r="F128" s="17" t="s">
        <v>2403</v>
      </c>
      <c r="G128" s="17" t="s">
        <v>375</v>
      </c>
      <c r="H128" s="17" t="s">
        <v>2404</v>
      </c>
      <c r="I128" s="17" t="s">
        <v>91</v>
      </c>
      <c r="J128" s="17" t="s">
        <v>372</v>
      </c>
      <c r="K128" s="22"/>
      <c r="L128" s="22"/>
      <c r="M128" s="22"/>
      <c r="N128" s="22"/>
      <c r="O128" s="22"/>
      <c r="P128" s="22"/>
      <c r="Q128" s="22"/>
      <c r="R128" s="22"/>
      <c r="S128" s="22"/>
      <c r="T128" s="22"/>
      <c r="U128" s="22"/>
      <c r="V128" s="22"/>
      <c r="W128" s="22"/>
      <c r="X128" s="22"/>
      <c r="Y128" s="22"/>
      <c r="Z128" s="22"/>
      <c r="AA128" s="22"/>
      <c r="AB128" s="22"/>
      <c r="AC128" s="22"/>
      <c r="AD128" s="22"/>
      <c r="AE128" s="22"/>
    </row>
    <row r="129">
      <c r="A129" s="17" t="s">
        <v>369</v>
      </c>
      <c r="B129" s="167" t="str">
        <f>IF(ISBLANK(A129),"",VLOOKUP(A129,DOI_URL!$B$1:$C$74,2,FALSE()))</f>
        <v>https://drive.google.com/file/d/1N0m-gh-0vYEXJsfBFc5eTKSdH0YIsn92/view?usp=sharing</v>
      </c>
      <c r="C129" s="17" t="s">
        <v>3311</v>
      </c>
      <c r="D129" s="17" t="s">
        <v>3311</v>
      </c>
      <c r="E129" s="17" t="s">
        <v>373</v>
      </c>
      <c r="F129" s="17" t="s">
        <v>2403</v>
      </c>
      <c r="G129" s="17" t="s">
        <v>377</v>
      </c>
      <c r="H129" s="17" t="s">
        <v>33</v>
      </c>
      <c r="I129" s="17" t="s">
        <v>91</v>
      </c>
      <c r="J129" s="17" t="s">
        <v>372</v>
      </c>
      <c r="K129" s="22"/>
      <c r="L129" s="22"/>
      <c r="M129" s="22"/>
      <c r="N129" s="22"/>
      <c r="O129" s="22"/>
      <c r="P129" s="22"/>
      <c r="Q129" s="22"/>
      <c r="R129" s="22"/>
      <c r="S129" s="22"/>
      <c r="T129" s="22"/>
      <c r="U129" s="22"/>
      <c r="V129" s="22"/>
      <c r="W129" s="22"/>
      <c r="X129" s="22"/>
      <c r="Y129" s="22"/>
      <c r="Z129" s="22"/>
      <c r="AA129" s="22"/>
      <c r="AB129" s="22"/>
      <c r="AC129" s="22"/>
      <c r="AD129" s="22"/>
      <c r="AE129" s="22"/>
    </row>
    <row r="130">
      <c r="A130" s="17" t="s">
        <v>378</v>
      </c>
      <c r="B130" s="167" t="str">
        <f>IF(ISBLANK(A130),"",VLOOKUP(A130,DOI_URL!$B$1:$C$74,2,FALSE()))</f>
        <v>https://drive.google.com/file/d/1QQ1WhoI3KqCnZ29wvYMt9ja1PtEH374z/view?usp=sharing</v>
      </c>
      <c r="C130" s="17" t="s">
        <v>3311</v>
      </c>
      <c r="D130" s="17" t="s">
        <v>3311</v>
      </c>
      <c r="E130" s="17" t="s">
        <v>379</v>
      </c>
      <c r="F130" s="17" t="s">
        <v>380</v>
      </c>
      <c r="G130" s="17" t="s">
        <v>381</v>
      </c>
      <c r="H130" s="17" t="s">
        <v>33</v>
      </c>
      <c r="I130" s="17" t="s">
        <v>44</v>
      </c>
      <c r="J130" s="17" t="s">
        <v>382</v>
      </c>
      <c r="K130" s="22"/>
      <c r="L130" s="22"/>
      <c r="M130" s="22"/>
      <c r="N130" s="22"/>
      <c r="O130" s="22"/>
      <c r="P130" s="22"/>
      <c r="Q130" s="22"/>
      <c r="R130" s="22"/>
      <c r="S130" s="22"/>
      <c r="T130" s="22"/>
      <c r="U130" s="22"/>
      <c r="V130" s="22"/>
      <c r="W130" s="22"/>
      <c r="X130" s="22"/>
      <c r="Y130" s="22"/>
      <c r="Z130" s="22"/>
      <c r="AA130" s="22"/>
      <c r="AB130" s="22"/>
      <c r="AC130" s="22"/>
      <c r="AD130" s="22"/>
      <c r="AE130" s="22"/>
    </row>
    <row r="131">
      <c r="A131" s="17" t="s">
        <v>378</v>
      </c>
      <c r="B131" s="167" t="str">
        <f>IF(ISBLANK(A131),"",VLOOKUP(A131,DOI_URL!$B$1:$C$74,2,FALSE()))</f>
        <v>https://drive.google.com/file/d/1QQ1WhoI3KqCnZ29wvYMt9ja1PtEH374z/view?usp=sharing</v>
      </c>
      <c r="C131" s="17" t="s">
        <v>3311</v>
      </c>
      <c r="D131" s="17" t="s">
        <v>3309</v>
      </c>
      <c r="E131" s="17" t="s">
        <v>379</v>
      </c>
      <c r="F131" s="17" t="s">
        <v>383</v>
      </c>
      <c r="G131" s="17" t="s">
        <v>384</v>
      </c>
      <c r="H131" s="17" t="s">
        <v>385</v>
      </c>
      <c r="I131" s="17" t="s">
        <v>91</v>
      </c>
      <c r="J131" s="17" t="s">
        <v>382</v>
      </c>
      <c r="K131" s="22"/>
      <c r="L131" s="22"/>
      <c r="M131" s="22"/>
      <c r="N131" s="22"/>
      <c r="O131" s="22"/>
      <c r="P131" s="22"/>
      <c r="Q131" s="22"/>
      <c r="R131" s="22"/>
      <c r="S131" s="22"/>
      <c r="T131" s="22"/>
      <c r="U131" s="22"/>
      <c r="V131" s="22"/>
      <c r="W131" s="22"/>
      <c r="X131" s="22"/>
      <c r="Y131" s="22"/>
      <c r="Z131" s="22"/>
      <c r="AA131" s="22"/>
      <c r="AB131" s="22"/>
      <c r="AC131" s="22"/>
      <c r="AD131" s="22"/>
      <c r="AE131" s="22"/>
    </row>
    <row r="132">
      <c r="A132" s="17" t="s">
        <v>378</v>
      </c>
      <c r="B132" s="167" t="str">
        <f>IF(ISBLANK(A132),"",VLOOKUP(A132,DOI_URL!$B$1:$C$74,2,FALSE()))</f>
        <v>https://drive.google.com/file/d/1QQ1WhoI3KqCnZ29wvYMt9ja1PtEH374z/view?usp=sharing</v>
      </c>
      <c r="C132" s="17" t="s">
        <v>3311</v>
      </c>
      <c r="D132" s="17" t="s">
        <v>3311</v>
      </c>
      <c r="E132" s="17" t="s">
        <v>379</v>
      </c>
      <c r="F132" s="17" t="s">
        <v>386</v>
      </c>
      <c r="G132" s="17" t="s">
        <v>387</v>
      </c>
      <c r="H132" s="17" t="s">
        <v>388</v>
      </c>
      <c r="I132" s="17" t="s">
        <v>91</v>
      </c>
      <c r="J132" s="17" t="s">
        <v>382</v>
      </c>
      <c r="K132" s="22"/>
      <c r="L132" s="22"/>
      <c r="M132" s="22"/>
      <c r="N132" s="22"/>
      <c r="O132" s="22"/>
      <c r="P132" s="22"/>
      <c r="Q132" s="22"/>
      <c r="R132" s="22"/>
      <c r="S132" s="22"/>
      <c r="T132" s="22"/>
      <c r="U132" s="22"/>
      <c r="V132" s="22"/>
      <c r="W132" s="22"/>
      <c r="X132" s="22"/>
      <c r="Y132" s="22"/>
      <c r="Z132" s="22"/>
      <c r="AA132" s="22"/>
      <c r="AB132" s="22"/>
      <c r="AC132" s="22"/>
      <c r="AD132" s="22"/>
      <c r="AE132" s="22"/>
    </row>
    <row r="133">
      <c r="A133" s="17" t="s">
        <v>378</v>
      </c>
      <c r="B133" s="167" t="str">
        <f>IF(ISBLANK(A133),"",VLOOKUP(A133,DOI_URL!$B$1:$C$74,2,FALSE()))</f>
        <v>https://drive.google.com/file/d/1QQ1WhoI3KqCnZ29wvYMt9ja1PtEH374z/view?usp=sharing</v>
      </c>
      <c r="C133" s="17" t="s">
        <v>3311</v>
      </c>
      <c r="D133" s="17" t="s">
        <v>3309</v>
      </c>
      <c r="E133" s="17" t="s">
        <v>389</v>
      </c>
      <c r="F133" s="17" t="s">
        <v>383</v>
      </c>
      <c r="G133" s="17" t="s">
        <v>390</v>
      </c>
      <c r="H133" s="17" t="s">
        <v>391</v>
      </c>
      <c r="I133" s="17" t="s">
        <v>91</v>
      </c>
      <c r="J133" s="17" t="s">
        <v>382</v>
      </c>
      <c r="K133" s="22"/>
      <c r="L133" s="22"/>
      <c r="M133" s="22"/>
      <c r="N133" s="22"/>
      <c r="O133" s="22"/>
      <c r="P133" s="22"/>
      <c r="Q133" s="22"/>
      <c r="R133" s="22"/>
      <c r="S133" s="22"/>
      <c r="T133" s="22"/>
      <c r="U133" s="22"/>
      <c r="V133" s="22"/>
      <c r="W133" s="22"/>
      <c r="X133" s="22"/>
      <c r="Y133" s="22"/>
      <c r="Z133" s="22"/>
      <c r="AA133" s="22"/>
      <c r="AB133" s="22"/>
      <c r="AC133" s="22"/>
      <c r="AD133" s="22"/>
      <c r="AE133" s="22"/>
    </row>
    <row r="134">
      <c r="A134" s="17" t="s">
        <v>378</v>
      </c>
      <c r="B134" s="167" t="str">
        <f>IF(ISBLANK(A134),"",VLOOKUP(A134,DOI_URL!$B$1:$C$74,2,FALSE()))</f>
        <v>https://drive.google.com/file/d/1QQ1WhoI3KqCnZ29wvYMt9ja1PtEH374z/view?usp=sharing</v>
      </c>
      <c r="C134" s="17" t="s">
        <v>3311</v>
      </c>
      <c r="D134" s="17" t="s">
        <v>3311</v>
      </c>
      <c r="E134" s="17" t="s">
        <v>389</v>
      </c>
      <c r="F134" s="17" t="s">
        <v>33</v>
      </c>
      <c r="G134" s="17" t="s">
        <v>396</v>
      </c>
      <c r="H134" s="17" t="s">
        <v>397</v>
      </c>
      <c r="I134" s="17" t="s">
        <v>91</v>
      </c>
      <c r="J134" s="17" t="s">
        <v>382</v>
      </c>
      <c r="K134" s="22"/>
      <c r="L134" s="22"/>
      <c r="M134" s="22"/>
      <c r="N134" s="22"/>
      <c r="O134" s="22"/>
      <c r="P134" s="22"/>
      <c r="Q134" s="22"/>
      <c r="R134" s="22"/>
      <c r="S134" s="22"/>
      <c r="T134" s="22"/>
      <c r="U134" s="22"/>
      <c r="V134" s="22"/>
      <c r="W134" s="22"/>
      <c r="X134" s="22"/>
      <c r="Y134" s="22"/>
      <c r="Z134" s="22"/>
      <c r="AA134" s="22"/>
      <c r="AB134" s="22"/>
      <c r="AC134" s="22"/>
      <c r="AD134" s="22"/>
      <c r="AE134" s="22"/>
    </row>
    <row r="135">
      <c r="A135" s="17" t="s">
        <v>378</v>
      </c>
      <c r="B135" s="167" t="str">
        <f>IF(ISBLANK(A135),"",VLOOKUP(A135,DOI_URL!$B$1:$C$74,2,FALSE()))</f>
        <v>https://drive.google.com/file/d/1QQ1WhoI3KqCnZ29wvYMt9ja1PtEH374z/view?usp=sharing</v>
      </c>
      <c r="C135" s="17" t="s">
        <v>3311</v>
      </c>
      <c r="D135" s="17" t="s">
        <v>3311</v>
      </c>
      <c r="E135" s="17" t="s">
        <v>2427</v>
      </c>
      <c r="F135" s="17" t="s">
        <v>33</v>
      </c>
      <c r="G135" s="17" t="s">
        <v>2420</v>
      </c>
      <c r="H135" s="17" t="s">
        <v>33</v>
      </c>
      <c r="I135" s="17" t="s">
        <v>44</v>
      </c>
      <c r="J135" s="17" t="s">
        <v>382</v>
      </c>
      <c r="K135" s="22"/>
      <c r="L135" s="22"/>
      <c r="M135" s="22"/>
      <c r="N135" s="22"/>
      <c r="O135" s="22"/>
      <c r="P135" s="22"/>
      <c r="Q135" s="22"/>
      <c r="R135" s="22"/>
      <c r="S135" s="22"/>
      <c r="T135" s="22"/>
      <c r="U135" s="22"/>
      <c r="V135" s="22"/>
      <c r="W135" s="22"/>
      <c r="X135" s="22"/>
      <c r="Y135" s="22"/>
      <c r="Z135" s="22"/>
      <c r="AA135" s="22"/>
      <c r="AB135" s="22"/>
      <c r="AC135" s="22"/>
      <c r="AD135" s="22"/>
      <c r="AE135" s="22"/>
    </row>
    <row r="136">
      <c r="A136" s="17" t="s">
        <v>378</v>
      </c>
      <c r="B136" s="167" t="str">
        <f>IF(ISBLANK(A136),"",VLOOKUP(A136,DOI_URL!$B$1:$C$74,2,FALSE()))</f>
        <v>https://drive.google.com/file/d/1QQ1WhoI3KqCnZ29wvYMt9ja1PtEH374z/view?usp=sharing</v>
      </c>
      <c r="C136" s="17" t="s">
        <v>3311</v>
      </c>
      <c r="D136" s="17" t="s">
        <v>3311</v>
      </c>
      <c r="E136" s="17" t="s">
        <v>2427</v>
      </c>
      <c r="F136" s="17" t="s">
        <v>405</v>
      </c>
      <c r="G136" s="17" t="s">
        <v>406</v>
      </c>
      <c r="H136" s="17" t="s">
        <v>33</v>
      </c>
      <c r="I136" s="17" t="s">
        <v>20</v>
      </c>
      <c r="J136" s="17" t="s">
        <v>382</v>
      </c>
      <c r="K136" s="22"/>
      <c r="L136" s="22"/>
      <c r="M136" s="22"/>
      <c r="N136" s="22"/>
      <c r="O136" s="22"/>
      <c r="P136" s="22"/>
      <c r="Q136" s="22"/>
      <c r="R136" s="22"/>
      <c r="S136" s="22"/>
      <c r="T136" s="22"/>
      <c r="U136" s="22"/>
      <c r="V136" s="22"/>
      <c r="W136" s="22"/>
      <c r="X136" s="22"/>
      <c r="Y136" s="22"/>
      <c r="Z136" s="22"/>
      <c r="AA136" s="22"/>
      <c r="AB136" s="22"/>
      <c r="AC136" s="22"/>
      <c r="AD136" s="22"/>
      <c r="AE136" s="22"/>
    </row>
    <row r="137">
      <c r="A137" s="17" t="s">
        <v>378</v>
      </c>
      <c r="B137" s="167" t="str">
        <f>IF(ISBLANK(A137),"",VLOOKUP(A137,DOI_URL!$B$1:$C$74,2,FALSE()))</f>
        <v>https://drive.google.com/file/d/1QQ1WhoI3KqCnZ29wvYMt9ja1PtEH374z/view?usp=sharing</v>
      </c>
      <c r="C137" s="17" t="s">
        <v>3311</v>
      </c>
      <c r="D137" s="17" t="s">
        <v>3311</v>
      </c>
      <c r="E137" s="17" t="s">
        <v>2428</v>
      </c>
      <c r="F137" s="17" t="s">
        <v>408</v>
      </c>
      <c r="G137" s="17" t="s">
        <v>409</v>
      </c>
      <c r="H137" s="17" t="s">
        <v>410</v>
      </c>
      <c r="I137" s="17" t="s">
        <v>39</v>
      </c>
      <c r="J137" s="17" t="s">
        <v>382</v>
      </c>
      <c r="K137" s="22"/>
      <c r="L137" s="22"/>
      <c r="M137" s="22"/>
      <c r="N137" s="22"/>
      <c r="O137" s="22"/>
      <c r="P137" s="22"/>
      <c r="Q137" s="22"/>
      <c r="R137" s="22"/>
      <c r="S137" s="22"/>
      <c r="T137" s="22"/>
      <c r="U137" s="22"/>
      <c r="V137" s="22"/>
      <c r="W137" s="22"/>
      <c r="X137" s="22"/>
      <c r="Y137" s="22"/>
      <c r="Z137" s="22"/>
      <c r="AA137" s="22"/>
      <c r="AB137" s="22"/>
      <c r="AC137" s="22"/>
      <c r="AD137" s="22"/>
      <c r="AE137" s="22"/>
    </row>
    <row r="138">
      <c r="A138" s="17" t="s">
        <v>378</v>
      </c>
      <c r="B138" s="167" t="str">
        <f>IF(ISBLANK(A138),"",VLOOKUP(A138,DOI_URL!$B$1:$C$74,2,FALSE()))</f>
        <v>https://drive.google.com/file/d/1QQ1WhoI3KqCnZ29wvYMt9ja1PtEH374z/view?usp=sharing</v>
      </c>
      <c r="C138" s="17" t="s">
        <v>3311</v>
      </c>
      <c r="D138" s="17" t="s">
        <v>3311</v>
      </c>
      <c r="E138" s="17" t="s">
        <v>2428</v>
      </c>
      <c r="F138" s="17" t="s">
        <v>412</v>
      </c>
      <c r="G138" s="17" t="s">
        <v>413</v>
      </c>
      <c r="H138" s="17" t="s">
        <v>414</v>
      </c>
      <c r="I138" s="17" t="s">
        <v>39</v>
      </c>
      <c r="J138" s="17" t="s">
        <v>382</v>
      </c>
      <c r="K138" s="22"/>
      <c r="L138" s="22"/>
      <c r="M138" s="22"/>
      <c r="N138" s="22"/>
      <c r="O138" s="22"/>
      <c r="P138" s="22"/>
      <c r="Q138" s="22"/>
      <c r="R138" s="22"/>
      <c r="S138" s="22"/>
      <c r="T138" s="22"/>
      <c r="U138" s="22"/>
      <c r="V138" s="22"/>
      <c r="W138" s="22"/>
      <c r="X138" s="22"/>
      <c r="Y138" s="22"/>
      <c r="Z138" s="22"/>
      <c r="AA138" s="22"/>
      <c r="AB138" s="22"/>
      <c r="AC138" s="22"/>
      <c r="AD138" s="22"/>
      <c r="AE138" s="22"/>
    </row>
    <row r="139">
      <c r="A139" s="17" t="s">
        <v>378</v>
      </c>
      <c r="B139" s="167" t="str">
        <f>IF(ISBLANK(A139),"",VLOOKUP(A139,DOI_URL!$B$1:$C$74,2,FALSE()))</f>
        <v>https://drive.google.com/file/d/1QQ1WhoI3KqCnZ29wvYMt9ja1PtEH374z/view?usp=sharing</v>
      </c>
      <c r="C139" s="17" t="s">
        <v>3311</v>
      </c>
      <c r="D139" s="17" t="s">
        <v>3311</v>
      </c>
      <c r="E139" s="17" t="s">
        <v>2428</v>
      </c>
      <c r="F139" s="17" t="s">
        <v>415</v>
      </c>
      <c r="G139" s="17" t="s">
        <v>416</v>
      </c>
      <c r="H139" s="17" t="s">
        <v>331</v>
      </c>
      <c r="I139" s="17" t="s">
        <v>39</v>
      </c>
      <c r="J139" s="17" t="s">
        <v>382</v>
      </c>
      <c r="K139" s="22"/>
      <c r="L139" s="22"/>
      <c r="M139" s="22"/>
      <c r="N139" s="22"/>
      <c r="O139" s="22"/>
      <c r="P139" s="22"/>
      <c r="Q139" s="22"/>
      <c r="R139" s="22"/>
      <c r="S139" s="22"/>
      <c r="T139" s="22"/>
      <c r="U139" s="22"/>
      <c r="V139" s="22"/>
      <c r="W139" s="22"/>
      <c r="X139" s="22"/>
      <c r="Y139" s="22"/>
      <c r="Z139" s="22"/>
      <c r="AA139" s="22"/>
      <c r="AB139" s="22"/>
      <c r="AC139" s="22"/>
      <c r="AD139" s="22"/>
      <c r="AE139" s="22"/>
    </row>
    <row r="140">
      <c r="A140" s="17" t="s">
        <v>378</v>
      </c>
      <c r="B140" s="167" t="str">
        <f>IF(ISBLANK(A140),"",VLOOKUP(A140,DOI_URL!$B$1:$C$74,2,FALSE()))</f>
        <v>https://drive.google.com/file/d/1QQ1WhoI3KqCnZ29wvYMt9ja1PtEH374z/view?usp=sharing</v>
      </c>
      <c r="C140" s="17" t="s">
        <v>3311</v>
      </c>
      <c r="D140" s="17" t="s">
        <v>3311</v>
      </c>
      <c r="E140" s="17" t="s">
        <v>2429</v>
      </c>
      <c r="F140" s="17" t="s">
        <v>418</v>
      </c>
      <c r="G140" s="17" t="s">
        <v>419</v>
      </c>
      <c r="H140" s="17" t="s">
        <v>420</v>
      </c>
      <c r="I140" s="17" t="s">
        <v>39</v>
      </c>
      <c r="J140" s="17" t="s">
        <v>382</v>
      </c>
      <c r="K140" s="22"/>
      <c r="L140" s="22"/>
      <c r="M140" s="22"/>
      <c r="N140" s="22"/>
      <c r="O140" s="22"/>
      <c r="P140" s="22"/>
      <c r="Q140" s="22"/>
      <c r="R140" s="22"/>
      <c r="S140" s="22"/>
      <c r="T140" s="22"/>
      <c r="U140" s="22"/>
      <c r="V140" s="22"/>
      <c r="W140" s="22"/>
      <c r="X140" s="22"/>
      <c r="Y140" s="22"/>
      <c r="Z140" s="22"/>
      <c r="AA140" s="22"/>
      <c r="AB140" s="22"/>
      <c r="AC140" s="22"/>
      <c r="AD140" s="22"/>
      <c r="AE140" s="22"/>
    </row>
    <row r="141">
      <c r="A141" s="17" t="s">
        <v>800</v>
      </c>
      <c r="B141" s="167" t="str">
        <f>IF(ISBLANK(A141),"",VLOOKUP(A141,DOI_URL!$B$1:$C$74,2,FALSE()))</f>
        <v>https://drive.google.com/file/d/1NUnV6E2ej3SpJp5Ddl-JaSV7yssMbU7o/view?usp=sharing</v>
      </c>
      <c r="C141" s="17" t="s">
        <v>3311</v>
      </c>
      <c r="D141" s="17" t="s">
        <v>3311</v>
      </c>
      <c r="E141" s="17" t="s">
        <v>815</v>
      </c>
      <c r="F141" s="17" t="s">
        <v>33</v>
      </c>
      <c r="G141" s="17" t="s">
        <v>816</v>
      </c>
      <c r="H141" s="17" t="s">
        <v>33</v>
      </c>
      <c r="I141" s="17" t="s">
        <v>44</v>
      </c>
      <c r="J141" s="17" t="s">
        <v>806</v>
      </c>
      <c r="K141" s="22"/>
      <c r="L141" s="22"/>
      <c r="M141" s="22"/>
      <c r="N141" s="22"/>
      <c r="O141" s="22"/>
      <c r="P141" s="22"/>
      <c r="Q141" s="22"/>
      <c r="R141" s="22"/>
      <c r="S141" s="22"/>
      <c r="T141" s="22"/>
      <c r="U141" s="22"/>
      <c r="V141" s="22"/>
      <c r="W141" s="22"/>
      <c r="X141" s="22"/>
      <c r="Y141" s="22"/>
      <c r="Z141" s="22"/>
      <c r="AA141" s="22"/>
      <c r="AB141" s="22"/>
      <c r="AC141" s="22"/>
      <c r="AD141" s="22"/>
      <c r="AE141" s="22"/>
    </row>
    <row r="142">
      <c r="A142" s="17" t="s">
        <v>800</v>
      </c>
      <c r="B142" s="167" t="str">
        <f>IF(ISBLANK(A142),"",VLOOKUP(A142,DOI_URL!$B$1:$C$74,2,FALSE()))</f>
        <v>https://drive.google.com/file/d/1NUnV6E2ej3SpJp5Ddl-JaSV7yssMbU7o/view?usp=sharing</v>
      </c>
      <c r="C142" s="17" t="s">
        <v>3311</v>
      </c>
      <c r="D142" s="17" t="s">
        <v>3311</v>
      </c>
      <c r="E142" s="17" t="s">
        <v>808</v>
      </c>
      <c r="F142" s="17" t="s">
        <v>33</v>
      </c>
      <c r="G142" s="17" t="s">
        <v>2626</v>
      </c>
      <c r="H142" s="17" t="s">
        <v>2622</v>
      </c>
      <c r="I142" s="17" t="s">
        <v>20</v>
      </c>
      <c r="J142" s="17" t="s">
        <v>806</v>
      </c>
      <c r="K142" s="22"/>
      <c r="L142" s="22"/>
      <c r="M142" s="22"/>
      <c r="N142" s="22"/>
      <c r="O142" s="22"/>
      <c r="P142" s="22"/>
      <c r="Q142" s="22"/>
      <c r="R142" s="22"/>
      <c r="S142" s="22"/>
      <c r="T142" s="22"/>
      <c r="U142" s="22"/>
      <c r="V142" s="22"/>
      <c r="W142" s="22"/>
      <c r="X142" s="22"/>
      <c r="Y142" s="22"/>
      <c r="Z142" s="22"/>
      <c r="AA142" s="22"/>
      <c r="AB142" s="22"/>
      <c r="AC142" s="22"/>
      <c r="AD142" s="22"/>
      <c r="AE142" s="22"/>
    </row>
    <row r="143">
      <c r="A143" s="17" t="s">
        <v>800</v>
      </c>
      <c r="B143" s="167" t="str">
        <f>IF(ISBLANK(A143),"",VLOOKUP(A143,DOI_URL!$B$1:$C$74,2,FALSE()))</f>
        <v>https://drive.google.com/file/d/1NUnV6E2ej3SpJp5Ddl-JaSV7yssMbU7o/view?usp=sharing</v>
      </c>
      <c r="C143" s="17" t="s">
        <v>3311</v>
      </c>
      <c r="D143" s="17" t="s">
        <v>3311</v>
      </c>
      <c r="E143" s="17" t="s">
        <v>808</v>
      </c>
      <c r="F143" s="17" t="s">
        <v>33</v>
      </c>
      <c r="G143" s="17" t="s">
        <v>812</v>
      </c>
      <c r="H143" s="17" t="s">
        <v>2622</v>
      </c>
      <c r="I143" s="17" t="s">
        <v>20</v>
      </c>
      <c r="J143" s="17" t="s">
        <v>806</v>
      </c>
      <c r="K143" s="22"/>
      <c r="L143" s="22"/>
      <c r="M143" s="22"/>
      <c r="N143" s="22"/>
      <c r="O143" s="22"/>
      <c r="P143" s="22"/>
      <c r="Q143" s="22"/>
      <c r="R143" s="22"/>
      <c r="S143" s="22"/>
      <c r="T143" s="22"/>
      <c r="U143" s="22"/>
      <c r="V143" s="22"/>
      <c r="W143" s="22"/>
      <c r="X143" s="22"/>
      <c r="Y143" s="22"/>
      <c r="Z143" s="22"/>
      <c r="AA143" s="22"/>
      <c r="AB143" s="22"/>
      <c r="AC143" s="22"/>
      <c r="AD143" s="22"/>
      <c r="AE143" s="22"/>
    </row>
    <row r="144">
      <c r="A144" s="17" t="s">
        <v>800</v>
      </c>
      <c r="B144" s="167" t="str">
        <f>IF(ISBLANK(A144),"",VLOOKUP(A144,DOI_URL!$B$1:$C$74,2,FALSE()))</f>
        <v>https://drive.google.com/file/d/1NUnV6E2ej3SpJp5Ddl-JaSV7yssMbU7o/view?usp=sharing</v>
      </c>
      <c r="C144" s="17" t="s">
        <v>3311</v>
      </c>
      <c r="D144" s="17" t="s">
        <v>3311</v>
      </c>
      <c r="E144" s="17" t="s">
        <v>2627</v>
      </c>
      <c r="F144" s="17" t="s">
        <v>412</v>
      </c>
      <c r="G144" s="66" t="s">
        <v>2628</v>
      </c>
      <c r="H144" s="22"/>
      <c r="I144" s="17" t="s">
        <v>91</v>
      </c>
      <c r="J144" s="17" t="s">
        <v>806</v>
      </c>
      <c r="K144" s="22"/>
      <c r="L144" s="22"/>
      <c r="M144" s="22"/>
      <c r="N144" s="22"/>
      <c r="O144" s="22"/>
      <c r="P144" s="22"/>
      <c r="Q144" s="22"/>
      <c r="R144" s="22"/>
      <c r="S144" s="22"/>
      <c r="T144" s="22"/>
      <c r="U144" s="22"/>
      <c r="V144" s="22"/>
      <c r="W144" s="22"/>
      <c r="X144" s="22"/>
      <c r="Y144" s="22"/>
      <c r="Z144" s="22"/>
      <c r="AA144" s="22"/>
      <c r="AB144" s="22"/>
      <c r="AC144" s="22"/>
      <c r="AD144" s="22"/>
      <c r="AE144" s="22"/>
    </row>
    <row r="145">
      <c r="A145" s="17" t="s">
        <v>800</v>
      </c>
      <c r="B145" s="167" t="str">
        <f>IF(ISBLANK(A145),"",VLOOKUP(A145,DOI_URL!$B$1:$C$74,2,FALSE()))</f>
        <v>https://drive.google.com/file/d/1NUnV6E2ej3SpJp5Ddl-JaSV7yssMbU7o/view?usp=sharing</v>
      </c>
      <c r="C145" s="17" t="s">
        <v>3311</v>
      </c>
      <c r="D145" s="17" t="s">
        <v>3311</v>
      </c>
      <c r="E145" s="17" t="s">
        <v>821</v>
      </c>
      <c r="F145" s="17" t="s">
        <v>2629</v>
      </c>
      <c r="G145" s="17" t="s">
        <v>2630</v>
      </c>
      <c r="H145" s="17" t="s">
        <v>414</v>
      </c>
      <c r="I145" s="17" t="s">
        <v>39</v>
      </c>
      <c r="J145" s="17" t="s">
        <v>806</v>
      </c>
      <c r="K145" s="22"/>
      <c r="L145" s="22"/>
      <c r="M145" s="22"/>
      <c r="N145" s="22"/>
      <c r="O145" s="22"/>
      <c r="P145" s="22"/>
      <c r="Q145" s="22"/>
      <c r="R145" s="22"/>
      <c r="S145" s="22"/>
      <c r="T145" s="22"/>
      <c r="U145" s="22"/>
      <c r="V145" s="22"/>
      <c r="W145" s="22"/>
      <c r="X145" s="22"/>
      <c r="Y145" s="22"/>
      <c r="Z145" s="22"/>
      <c r="AA145" s="22"/>
      <c r="AB145" s="22"/>
      <c r="AC145" s="22"/>
      <c r="AD145" s="22"/>
      <c r="AE145" s="22"/>
    </row>
    <row r="146">
      <c r="A146" s="17" t="s">
        <v>825</v>
      </c>
      <c r="B146" s="167" t="str">
        <f>IF(ISBLANK(A146),"",VLOOKUP(A146,DOI_URL!$B$1:$C$74,2,FALSE()))</f>
        <v>https://drive.google.com/file/d/1n805QLSml7sZdpqFSxAHCFc6fDGwEiud/view?usp=sharing</v>
      </c>
      <c r="C146" s="17" t="s">
        <v>3311</v>
      </c>
      <c r="D146" s="17" t="s">
        <v>3311</v>
      </c>
      <c r="E146" s="17" t="s">
        <v>840</v>
      </c>
      <c r="F146" s="17" t="s">
        <v>836</v>
      </c>
      <c r="G146" s="17" t="s">
        <v>841</v>
      </c>
      <c r="H146" s="17" t="s">
        <v>842</v>
      </c>
      <c r="I146" s="17" t="s">
        <v>20</v>
      </c>
      <c r="J146" s="17" t="s">
        <v>830</v>
      </c>
      <c r="K146" s="22"/>
      <c r="L146" s="22"/>
      <c r="M146" s="22"/>
      <c r="N146" s="22"/>
      <c r="O146" s="22"/>
      <c r="P146" s="22"/>
      <c r="Q146" s="22"/>
      <c r="R146" s="22"/>
      <c r="S146" s="22"/>
      <c r="T146" s="22"/>
      <c r="U146" s="22"/>
      <c r="V146" s="22"/>
      <c r="W146" s="22"/>
      <c r="X146" s="22"/>
      <c r="Y146" s="22"/>
      <c r="Z146" s="22"/>
      <c r="AA146" s="22"/>
      <c r="AB146" s="22"/>
      <c r="AC146" s="22"/>
      <c r="AD146" s="22"/>
      <c r="AE146" s="22"/>
    </row>
    <row r="147">
      <c r="A147" s="17" t="s">
        <v>825</v>
      </c>
      <c r="B147" s="167" t="str">
        <f>IF(ISBLANK(A147),"",VLOOKUP(A147,DOI_URL!$B$1:$C$74,2,FALSE()))</f>
        <v>https://drive.google.com/file/d/1n805QLSml7sZdpqFSxAHCFc6fDGwEiud/view?usp=sharing</v>
      </c>
      <c r="C147" s="17" t="s">
        <v>3311</v>
      </c>
      <c r="D147" s="17" t="s">
        <v>3311</v>
      </c>
      <c r="E147" s="17" t="s">
        <v>844</v>
      </c>
      <c r="F147" s="17" t="s">
        <v>827</v>
      </c>
      <c r="G147" s="17" t="s">
        <v>845</v>
      </c>
      <c r="H147" s="17" t="s">
        <v>846</v>
      </c>
      <c r="I147" s="17" t="s">
        <v>20</v>
      </c>
      <c r="J147" s="17" t="s">
        <v>830</v>
      </c>
      <c r="K147" s="22"/>
      <c r="L147" s="22"/>
      <c r="M147" s="22"/>
      <c r="N147" s="22"/>
      <c r="O147" s="22"/>
      <c r="P147" s="22"/>
      <c r="Q147" s="22"/>
      <c r="R147" s="22"/>
      <c r="S147" s="22"/>
      <c r="T147" s="22"/>
      <c r="U147" s="22"/>
      <c r="V147" s="22"/>
      <c r="W147" s="22"/>
      <c r="X147" s="22"/>
      <c r="Y147" s="22"/>
      <c r="Z147" s="22"/>
      <c r="AA147" s="22"/>
      <c r="AB147" s="22"/>
      <c r="AC147" s="22"/>
      <c r="AD147" s="22"/>
      <c r="AE147" s="22"/>
    </row>
    <row r="148">
      <c r="A148" s="17" t="s">
        <v>825</v>
      </c>
      <c r="B148" s="167" t="str">
        <f>IF(ISBLANK(A148),"",VLOOKUP(A148,DOI_URL!$B$1:$C$74,2,FALSE()))</f>
        <v>https://drive.google.com/file/d/1n805QLSml7sZdpqFSxAHCFc6fDGwEiud/view?usp=sharing</v>
      </c>
      <c r="C148" s="17" t="s">
        <v>3311</v>
      </c>
      <c r="D148" s="17" t="s">
        <v>3311</v>
      </c>
      <c r="E148" s="17" t="s">
        <v>847</v>
      </c>
      <c r="F148" s="17" t="s">
        <v>33</v>
      </c>
      <c r="G148" s="17" t="s">
        <v>848</v>
      </c>
      <c r="H148" s="17" t="s">
        <v>849</v>
      </c>
      <c r="I148" s="17" t="s">
        <v>39</v>
      </c>
      <c r="J148" s="17" t="s">
        <v>830</v>
      </c>
      <c r="K148" s="22"/>
      <c r="L148" s="22"/>
      <c r="M148" s="22"/>
      <c r="N148" s="22"/>
      <c r="O148" s="22"/>
      <c r="P148" s="22"/>
      <c r="Q148" s="22"/>
      <c r="R148" s="22"/>
      <c r="S148" s="22"/>
      <c r="T148" s="22"/>
      <c r="U148" s="22"/>
      <c r="V148" s="22"/>
      <c r="W148" s="22"/>
      <c r="X148" s="22"/>
      <c r="Y148" s="22"/>
      <c r="Z148" s="22"/>
      <c r="AA148" s="22"/>
      <c r="AB148" s="22"/>
      <c r="AC148" s="22"/>
      <c r="AD148" s="22"/>
      <c r="AE148" s="22"/>
    </row>
    <row r="149">
      <c r="A149" s="17" t="s">
        <v>825</v>
      </c>
      <c r="B149" s="167" t="str">
        <f>IF(ISBLANK(A149),"",VLOOKUP(A149,DOI_URL!$B$1:$C$74,2,FALSE()))</f>
        <v>https://drive.google.com/file/d/1n805QLSml7sZdpqFSxAHCFc6fDGwEiud/view?usp=sharing</v>
      </c>
      <c r="C149" s="17" t="s">
        <v>3311</v>
      </c>
      <c r="D149" s="17" t="s">
        <v>3311</v>
      </c>
      <c r="E149" s="17" t="s">
        <v>847</v>
      </c>
      <c r="F149" s="17" t="s">
        <v>205</v>
      </c>
      <c r="G149" s="66" t="s">
        <v>2633</v>
      </c>
      <c r="H149" s="22"/>
      <c r="I149" s="17" t="s">
        <v>39</v>
      </c>
      <c r="J149" s="17" t="s">
        <v>830</v>
      </c>
      <c r="K149" s="22"/>
      <c r="L149" s="22"/>
      <c r="M149" s="22"/>
      <c r="N149" s="22"/>
      <c r="O149" s="22"/>
      <c r="P149" s="22"/>
      <c r="Q149" s="22"/>
      <c r="R149" s="22"/>
      <c r="S149" s="22"/>
      <c r="T149" s="22"/>
      <c r="U149" s="22"/>
      <c r="V149" s="22"/>
      <c r="W149" s="22"/>
      <c r="X149" s="22"/>
      <c r="Y149" s="22"/>
      <c r="Z149" s="22"/>
      <c r="AA149" s="22"/>
      <c r="AB149" s="22"/>
      <c r="AC149" s="22"/>
      <c r="AD149" s="22"/>
      <c r="AE149" s="22"/>
    </row>
    <row r="150">
      <c r="A150" s="17" t="s">
        <v>424</v>
      </c>
      <c r="B150" s="167" t="str">
        <f>IF(ISBLANK(A150),"",VLOOKUP(A150,DOI_URL!$B$1:$C$74,2,FALSE()))</f>
        <v>https://drive.google.com/file/d/1z9HhRKuFqf5E7-1E_EHMrXTmEOK87hCX/view?usp=sharing</v>
      </c>
      <c r="C150" s="17" t="s">
        <v>3311</v>
      </c>
      <c r="D150" s="17" t="s">
        <v>3311</v>
      </c>
      <c r="E150" s="17" t="s">
        <v>425</v>
      </c>
      <c r="F150" s="17" t="s">
        <v>426</v>
      </c>
      <c r="G150" s="17" t="s">
        <v>52</v>
      </c>
      <c r="H150" s="17" t="s">
        <v>427</v>
      </c>
      <c r="I150" s="17" t="s">
        <v>54</v>
      </c>
      <c r="J150" s="17" t="s">
        <v>428</v>
      </c>
      <c r="K150" s="22"/>
      <c r="L150" s="22"/>
      <c r="M150" s="22"/>
      <c r="N150" s="22"/>
      <c r="O150" s="22"/>
      <c r="P150" s="22"/>
      <c r="Q150" s="22"/>
      <c r="R150" s="22"/>
      <c r="S150" s="22"/>
      <c r="T150" s="22"/>
      <c r="U150" s="22"/>
      <c r="V150" s="22"/>
      <c r="W150" s="22"/>
      <c r="X150" s="22"/>
      <c r="Y150" s="22"/>
      <c r="Z150" s="22"/>
      <c r="AA150" s="22"/>
      <c r="AB150" s="22"/>
      <c r="AC150" s="22"/>
      <c r="AD150" s="22"/>
      <c r="AE150" s="22"/>
    </row>
    <row r="151">
      <c r="A151" s="17" t="s">
        <v>424</v>
      </c>
      <c r="B151" s="167" t="str">
        <f>IF(ISBLANK(A151),"",VLOOKUP(A151,DOI_URL!$B$1:$C$74,2,FALSE()))</f>
        <v>https://drive.google.com/file/d/1z9HhRKuFqf5E7-1E_EHMrXTmEOK87hCX/view?usp=sharing</v>
      </c>
      <c r="C151" s="17" t="s">
        <v>3311</v>
      </c>
      <c r="D151" s="17" t="s">
        <v>3311</v>
      </c>
      <c r="E151" s="17" t="s">
        <v>425</v>
      </c>
      <c r="F151" s="17"/>
      <c r="G151" s="17" t="s">
        <v>430</v>
      </c>
      <c r="H151" s="17" t="s">
        <v>431</v>
      </c>
      <c r="I151" s="17" t="s">
        <v>20</v>
      </c>
      <c r="J151" s="17" t="s">
        <v>428</v>
      </c>
      <c r="K151" s="22"/>
      <c r="L151" s="22"/>
      <c r="M151" s="22"/>
      <c r="N151" s="22"/>
      <c r="O151" s="22"/>
      <c r="P151" s="22"/>
      <c r="Q151" s="22"/>
      <c r="R151" s="22"/>
      <c r="S151" s="22"/>
      <c r="T151" s="22"/>
      <c r="U151" s="22"/>
      <c r="V151" s="22"/>
      <c r="W151" s="22"/>
      <c r="X151" s="22"/>
      <c r="Y151" s="22"/>
      <c r="Z151" s="22"/>
      <c r="AA151" s="22"/>
      <c r="AB151" s="22"/>
      <c r="AC151" s="22"/>
      <c r="AD151" s="22"/>
      <c r="AE151" s="22"/>
    </row>
    <row r="152">
      <c r="A152" s="17" t="s">
        <v>424</v>
      </c>
      <c r="B152" s="167" t="str">
        <f>IF(ISBLANK(A152),"",VLOOKUP(A152,DOI_URL!$B$1:$C$74,2,FALSE()))</f>
        <v>https://drive.google.com/file/d/1z9HhRKuFqf5E7-1E_EHMrXTmEOK87hCX/view?usp=sharing</v>
      </c>
      <c r="C152" s="17" t="s">
        <v>3311</v>
      </c>
      <c r="D152" s="17" t="s">
        <v>3311</v>
      </c>
      <c r="E152" s="17" t="s">
        <v>2438</v>
      </c>
      <c r="F152" s="17" t="s">
        <v>2439</v>
      </c>
      <c r="G152" s="17" t="s">
        <v>2440</v>
      </c>
      <c r="H152" s="17" t="s">
        <v>2441</v>
      </c>
      <c r="I152" s="17" t="s">
        <v>39</v>
      </c>
      <c r="J152" s="17" t="s">
        <v>428</v>
      </c>
      <c r="K152" s="22"/>
      <c r="L152" s="22"/>
      <c r="M152" s="22"/>
      <c r="N152" s="22"/>
      <c r="O152" s="22"/>
      <c r="P152" s="22"/>
      <c r="Q152" s="22"/>
      <c r="R152" s="22"/>
      <c r="S152" s="22"/>
      <c r="T152" s="22"/>
      <c r="U152" s="22"/>
      <c r="V152" s="22"/>
      <c r="W152" s="22"/>
      <c r="X152" s="22"/>
      <c r="Y152" s="22"/>
      <c r="Z152" s="22"/>
      <c r="AA152" s="22"/>
      <c r="AB152" s="22"/>
      <c r="AC152" s="22"/>
      <c r="AD152" s="22"/>
      <c r="AE152" s="22"/>
    </row>
    <row r="153">
      <c r="A153" s="17" t="s">
        <v>448</v>
      </c>
      <c r="B153" s="167" t="str">
        <f>IF(ISBLANK(A153),"",VLOOKUP(A153,DOI_URL!$B$1:$C$74,2,FALSE()))</f>
        <v>https://drive.google.com/file/d/1bE3l-rUYJ3NulRPwyvw9ZbgjFlRsuuxg/view?usp=sharing</v>
      </c>
      <c r="C153" s="17" t="s">
        <v>3311</v>
      </c>
      <c r="D153" s="17" t="s">
        <v>3311</v>
      </c>
      <c r="E153" s="17" t="s">
        <v>449</v>
      </c>
      <c r="F153" s="17" t="s">
        <v>33</v>
      </c>
      <c r="G153" s="17" t="s">
        <v>2443</v>
      </c>
      <c r="H153" s="17" t="s">
        <v>451</v>
      </c>
      <c r="I153" s="17" t="s">
        <v>91</v>
      </c>
      <c r="J153" s="17" t="s">
        <v>452</v>
      </c>
      <c r="K153" s="22"/>
      <c r="L153" s="22"/>
      <c r="M153" s="22"/>
      <c r="N153" s="22"/>
      <c r="O153" s="22"/>
      <c r="P153" s="22"/>
      <c r="Q153" s="22"/>
      <c r="R153" s="22"/>
      <c r="S153" s="22"/>
      <c r="T153" s="22"/>
      <c r="U153" s="22"/>
      <c r="V153" s="22"/>
      <c r="W153" s="22"/>
      <c r="X153" s="22"/>
      <c r="Y153" s="22"/>
      <c r="Z153" s="22"/>
      <c r="AA153" s="22"/>
      <c r="AB153" s="22"/>
      <c r="AC153" s="22"/>
      <c r="AD153" s="22"/>
      <c r="AE153" s="22"/>
    </row>
    <row r="154">
      <c r="A154" s="17" t="s">
        <v>448</v>
      </c>
      <c r="B154" s="167" t="str">
        <f>IF(ISBLANK(A154),"",VLOOKUP(A154,DOI_URL!$B$1:$C$74,2,FALSE()))</f>
        <v>https://drive.google.com/file/d/1bE3l-rUYJ3NulRPwyvw9ZbgjFlRsuuxg/view?usp=sharing</v>
      </c>
      <c r="C154" s="17" t="s">
        <v>3311</v>
      </c>
      <c r="D154" s="17" t="s">
        <v>3311</v>
      </c>
      <c r="E154" s="17" t="s">
        <v>449</v>
      </c>
      <c r="F154" s="17" t="s">
        <v>459</v>
      </c>
      <c r="G154" s="17" t="s">
        <v>460</v>
      </c>
      <c r="H154" s="17" t="s">
        <v>33</v>
      </c>
      <c r="I154" s="17" t="s">
        <v>20</v>
      </c>
      <c r="J154" s="17" t="s">
        <v>452</v>
      </c>
      <c r="K154" s="22"/>
      <c r="L154" s="22"/>
      <c r="M154" s="22"/>
      <c r="N154" s="22"/>
      <c r="O154" s="22"/>
      <c r="P154" s="22"/>
      <c r="Q154" s="22"/>
      <c r="R154" s="22"/>
      <c r="S154" s="22"/>
      <c r="T154" s="22"/>
      <c r="U154" s="22"/>
      <c r="V154" s="22"/>
      <c r="W154" s="22"/>
      <c r="X154" s="22"/>
      <c r="Y154" s="22"/>
      <c r="Z154" s="22"/>
      <c r="AA154" s="22"/>
      <c r="AB154" s="22"/>
      <c r="AC154" s="22"/>
      <c r="AD154" s="22"/>
      <c r="AE154" s="22"/>
    </row>
    <row r="155">
      <c r="A155" s="17" t="s">
        <v>448</v>
      </c>
      <c r="B155" s="167" t="str">
        <f>IF(ISBLANK(A155),"",VLOOKUP(A155,DOI_URL!$B$1:$C$74,2,FALSE()))</f>
        <v>https://drive.google.com/file/d/1bE3l-rUYJ3NulRPwyvw9ZbgjFlRsuuxg/view?usp=sharing</v>
      </c>
      <c r="C155" s="17" t="s">
        <v>3311</v>
      </c>
      <c r="D155" s="17" t="s">
        <v>3311</v>
      </c>
      <c r="E155" s="17" t="s">
        <v>461</v>
      </c>
      <c r="F155" s="17" t="s">
        <v>462</v>
      </c>
      <c r="G155" s="17" t="s">
        <v>463</v>
      </c>
      <c r="H155" s="17" t="s">
        <v>464</v>
      </c>
      <c r="I155" s="17" t="s">
        <v>54</v>
      </c>
      <c r="J155" s="17" t="s">
        <v>452</v>
      </c>
      <c r="K155" s="22"/>
      <c r="L155" s="22"/>
      <c r="M155" s="22"/>
      <c r="N155" s="22"/>
      <c r="O155" s="22"/>
      <c r="P155" s="22"/>
      <c r="Q155" s="22"/>
      <c r="R155" s="22"/>
      <c r="S155" s="22"/>
      <c r="T155" s="22"/>
      <c r="U155" s="22"/>
      <c r="V155" s="22"/>
      <c r="W155" s="22"/>
      <c r="X155" s="22"/>
      <c r="Y155" s="22"/>
      <c r="Z155" s="22"/>
      <c r="AA155" s="22"/>
      <c r="AB155" s="22"/>
      <c r="AC155" s="22"/>
      <c r="AD155" s="22"/>
      <c r="AE155" s="22"/>
    </row>
    <row r="156">
      <c r="A156" s="17" t="s">
        <v>448</v>
      </c>
      <c r="B156" s="167" t="str">
        <f>IF(ISBLANK(A156),"",VLOOKUP(A156,DOI_URL!$B$1:$C$74,2,FALSE()))</f>
        <v>https://drive.google.com/file/d/1bE3l-rUYJ3NulRPwyvw9ZbgjFlRsuuxg/view?usp=sharing</v>
      </c>
      <c r="C156" s="17" t="s">
        <v>3311</v>
      </c>
      <c r="D156" s="17" t="s">
        <v>3311</v>
      </c>
      <c r="E156" s="17" t="s">
        <v>465</v>
      </c>
      <c r="F156" s="17" t="s">
        <v>2452</v>
      </c>
      <c r="G156" s="17" t="s">
        <v>2453</v>
      </c>
      <c r="H156" s="17" t="s">
        <v>2454</v>
      </c>
      <c r="I156" s="17" t="s">
        <v>54</v>
      </c>
      <c r="J156" s="17" t="s">
        <v>452</v>
      </c>
      <c r="K156" s="22"/>
      <c r="L156" s="22"/>
      <c r="M156" s="22"/>
      <c r="N156" s="22"/>
      <c r="O156" s="22"/>
      <c r="P156" s="22"/>
      <c r="Q156" s="22"/>
      <c r="R156" s="22"/>
      <c r="S156" s="22"/>
      <c r="T156" s="22"/>
      <c r="U156" s="22"/>
      <c r="V156" s="22"/>
      <c r="W156" s="22"/>
      <c r="X156" s="22"/>
      <c r="Y156" s="22"/>
      <c r="Z156" s="22"/>
      <c r="AA156" s="22"/>
      <c r="AB156" s="22"/>
      <c r="AC156" s="22"/>
      <c r="AD156" s="22"/>
      <c r="AE156" s="22"/>
    </row>
    <row r="157">
      <c r="A157" s="17" t="s">
        <v>448</v>
      </c>
      <c r="B157" s="167" t="str">
        <f>IF(ISBLANK(A157),"",VLOOKUP(A157,DOI_URL!$B$1:$C$74,2,FALSE()))</f>
        <v>https://drive.google.com/file/d/1bE3l-rUYJ3NulRPwyvw9ZbgjFlRsuuxg/view?usp=sharing</v>
      </c>
      <c r="C157" s="17" t="s">
        <v>3311</v>
      </c>
      <c r="D157" s="17" t="s">
        <v>3311</v>
      </c>
      <c r="E157" s="17" t="s">
        <v>469</v>
      </c>
      <c r="F157" s="17" t="s">
        <v>33</v>
      </c>
      <c r="G157" s="17" t="s">
        <v>470</v>
      </c>
      <c r="H157" s="17" t="s">
        <v>2456</v>
      </c>
      <c r="I157" s="17" t="s">
        <v>39</v>
      </c>
      <c r="J157" s="17" t="s">
        <v>452</v>
      </c>
      <c r="K157" s="22"/>
      <c r="L157" s="22"/>
      <c r="M157" s="22"/>
      <c r="N157" s="22"/>
      <c r="O157" s="22"/>
      <c r="P157" s="22"/>
      <c r="Q157" s="22"/>
      <c r="R157" s="22"/>
      <c r="S157" s="22"/>
      <c r="T157" s="22"/>
      <c r="U157" s="22"/>
      <c r="V157" s="22"/>
      <c r="W157" s="22"/>
      <c r="X157" s="22"/>
      <c r="Y157" s="22"/>
      <c r="Z157" s="22"/>
      <c r="AA157" s="22"/>
      <c r="AB157" s="22"/>
      <c r="AC157" s="22"/>
      <c r="AD157" s="22"/>
      <c r="AE157" s="22"/>
    </row>
    <row r="158">
      <c r="A158" s="17" t="s">
        <v>448</v>
      </c>
      <c r="B158" s="167" t="str">
        <f>IF(ISBLANK(A158),"",VLOOKUP(A158,DOI_URL!$B$1:$C$74,2,FALSE()))</f>
        <v>https://drive.google.com/file/d/1bE3l-rUYJ3NulRPwyvw9ZbgjFlRsuuxg/view?usp=sharing</v>
      </c>
      <c r="C158" s="17" t="s">
        <v>3311</v>
      </c>
      <c r="D158" s="17" t="s">
        <v>3311</v>
      </c>
      <c r="E158" s="17" t="s">
        <v>472</v>
      </c>
      <c r="F158" s="17" t="s">
        <v>473</v>
      </c>
      <c r="G158" s="17" t="s">
        <v>474</v>
      </c>
      <c r="H158" s="17" t="s">
        <v>475</v>
      </c>
      <c r="I158" s="17" t="s">
        <v>20</v>
      </c>
      <c r="J158" s="17" t="s">
        <v>452</v>
      </c>
      <c r="K158" s="22"/>
      <c r="L158" s="22"/>
      <c r="M158" s="22"/>
      <c r="N158" s="22"/>
      <c r="O158" s="22"/>
      <c r="P158" s="22"/>
      <c r="Q158" s="22"/>
      <c r="R158" s="22"/>
      <c r="S158" s="22"/>
      <c r="T158" s="22"/>
      <c r="U158" s="22"/>
      <c r="V158" s="22"/>
      <c r="W158" s="22"/>
      <c r="X158" s="22"/>
      <c r="Y158" s="22"/>
      <c r="Z158" s="22"/>
      <c r="AA158" s="22"/>
      <c r="AB158" s="22"/>
      <c r="AC158" s="22"/>
      <c r="AD158" s="22"/>
      <c r="AE158" s="22"/>
    </row>
    <row r="159">
      <c r="A159" s="17" t="s">
        <v>448</v>
      </c>
      <c r="B159" s="167" t="str">
        <f>IF(ISBLANK(A159),"",VLOOKUP(A159,DOI_URL!$B$1:$C$74,2,FALSE()))</f>
        <v>https://drive.google.com/file/d/1bE3l-rUYJ3NulRPwyvw9ZbgjFlRsuuxg/view?usp=sharing</v>
      </c>
      <c r="C159" s="17" t="s">
        <v>3311</v>
      </c>
      <c r="D159" s="17" t="s">
        <v>3311</v>
      </c>
      <c r="E159" s="17" t="s">
        <v>472</v>
      </c>
      <c r="F159" s="17" t="s">
        <v>412</v>
      </c>
      <c r="G159" s="17" t="s">
        <v>479</v>
      </c>
      <c r="H159" s="17" t="s">
        <v>2456</v>
      </c>
      <c r="I159" s="17" t="s">
        <v>39</v>
      </c>
      <c r="J159" s="17" t="s">
        <v>452</v>
      </c>
      <c r="K159" s="22"/>
      <c r="L159" s="22"/>
      <c r="M159" s="22"/>
      <c r="N159" s="22"/>
      <c r="O159" s="22"/>
      <c r="P159" s="22"/>
      <c r="Q159" s="22"/>
      <c r="R159" s="22"/>
      <c r="S159" s="22"/>
      <c r="T159" s="22"/>
      <c r="U159" s="22"/>
      <c r="V159" s="22"/>
      <c r="W159" s="22"/>
      <c r="X159" s="22"/>
      <c r="Y159" s="22"/>
      <c r="Z159" s="22"/>
      <c r="AA159" s="22"/>
      <c r="AB159" s="22"/>
      <c r="AC159" s="22"/>
      <c r="AD159" s="22"/>
      <c r="AE159" s="22"/>
    </row>
    <row r="160">
      <c r="A160" s="17" t="s">
        <v>483</v>
      </c>
      <c r="B160" s="167" t="str">
        <f>IF(ISBLANK(A160),"",VLOOKUP(A160,DOI_URL!$B$1:$C$74,2,FALSE()))</f>
        <v>https://drive.google.com/file/d/1BdPVbZqhRPjpQtD2C1u09sYXBdr84-HR/view?usp=sharing</v>
      </c>
      <c r="C160" s="17" t="s">
        <v>3311</v>
      </c>
      <c r="D160" s="17" t="s">
        <v>3311</v>
      </c>
      <c r="E160" s="17" t="s">
        <v>484</v>
      </c>
      <c r="F160" s="17" t="s">
        <v>485</v>
      </c>
      <c r="G160" s="17" t="s">
        <v>486</v>
      </c>
      <c r="H160" s="17" t="s">
        <v>487</v>
      </c>
      <c r="I160" s="17" t="s">
        <v>54</v>
      </c>
      <c r="J160" s="17" t="s">
        <v>488</v>
      </c>
      <c r="K160" s="22"/>
      <c r="L160" s="22"/>
      <c r="M160" s="22"/>
      <c r="N160" s="22"/>
      <c r="O160" s="22"/>
      <c r="P160" s="22"/>
      <c r="Q160" s="22"/>
      <c r="R160" s="22"/>
      <c r="S160" s="22"/>
      <c r="T160" s="22"/>
      <c r="U160" s="22"/>
      <c r="V160" s="22"/>
      <c r="W160" s="22"/>
      <c r="X160" s="22"/>
      <c r="Y160" s="22"/>
      <c r="Z160" s="22"/>
      <c r="AA160" s="22"/>
      <c r="AB160" s="22"/>
      <c r="AC160" s="22"/>
      <c r="AD160" s="22"/>
      <c r="AE160" s="22"/>
    </row>
    <row r="161">
      <c r="A161" s="17" t="s">
        <v>483</v>
      </c>
      <c r="B161" s="167" t="str">
        <f>IF(ISBLANK(A161),"",VLOOKUP(A161,DOI_URL!$B$1:$C$74,2,FALSE()))</f>
        <v>https://drive.google.com/file/d/1BdPVbZqhRPjpQtD2C1u09sYXBdr84-HR/view?usp=sharing</v>
      </c>
      <c r="C161" s="17" t="s">
        <v>3311</v>
      </c>
      <c r="D161" s="17" t="s">
        <v>3311</v>
      </c>
      <c r="E161" s="17" t="s">
        <v>484</v>
      </c>
      <c r="F161" s="17" t="s">
        <v>33</v>
      </c>
      <c r="G161" s="17" t="s">
        <v>489</v>
      </c>
      <c r="H161" s="17" t="s">
        <v>33</v>
      </c>
      <c r="I161" s="17" t="s">
        <v>44</v>
      </c>
      <c r="J161" s="17" t="s">
        <v>488</v>
      </c>
      <c r="K161" s="22"/>
      <c r="L161" s="22"/>
      <c r="M161" s="22"/>
      <c r="N161" s="22"/>
      <c r="O161" s="22"/>
      <c r="P161" s="22"/>
      <c r="Q161" s="22"/>
      <c r="R161" s="22"/>
      <c r="S161" s="22"/>
      <c r="T161" s="22"/>
      <c r="U161" s="22"/>
      <c r="V161" s="22"/>
      <c r="W161" s="22"/>
      <c r="X161" s="22"/>
      <c r="Y161" s="22"/>
      <c r="Z161" s="22"/>
      <c r="AA161" s="22"/>
      <c r="AB161" s="22"/>
      <c r="AC161" s="22"/>
      <c r="AD161" s="22"/>
      <c r="AE161" s="22"/>
    </row>
    <row r="162">
      <c r="A162" s="17" t="s">
        <v>483</v>
      </c>
      <c r="B162" s="167" t="str">
        <f>IF(ISBLANK(A162),"",VLOOKUP(A162,DOI_URL!$B$1:$C$74,2,FALSE()))</f>
        <v>https://drive.google.com/file/d/1BdPVbZqhRPjpQtD2C1u09sYXBdr84-HR/view?usp=sharing</v>
      </c>
      <c r="C162" s="17" t="s">
        <v>3311</v>
      </c>
      <c r="D162" s="17" t="s">
        <v>3311</v>
      </c>
      <c r="E162" s="17" t="s">
        <v>491</v>
      </c>
      <c r="F162" s="17" t="s">
        <v>473</v>
      </c>
      <c r="G162" s="17" t="s">
        <v>492</v>
      </c>
      <c r="H162" s="17" t="s">
        <v>33</v>
      </c>
      <c r="I162" s="17" t="s">
        <v>20</v>
      </c>
      <c r="J162" s="17" t="s">
        <v>488</v>
      </c>
      <c r="K162" s="22"/>
      <c r="L162" s="22"/>
      <c r="M162" s="22"/>
      <c r="N162" s="22"/>
      <c r="O162" s="22"/>
      <c r="P162" s="22"/>
      <c r="Q162" s="22"/>
      <c r="R162" s="22"/>
      <c r="S162" s="22"/>
      <c r="T162" s="22"/>
      <c r="U162" s="22"/>
      <c r="V162" s="22"/>
      <c r="W162" s="22"/>
      <c r="X162" s="22"/>
      <c r="Y162" s="22"/>
      <c r="Z162" s="22"/>
      <c r="AA162" s="22"/>
      <c r="AB162" s="22"/>
      <c r="AC162" s="22"/>
      <c r="AD162" s="22"/>
      <c r="AE162" s="22"/>
    </row>
    <row r="163">
      <c r="A163" s="17" t="s">
        <v>483</v>
      </c>
      <c r="B163" s="167" t="str">
        <f>IF(ISBLANK(A163),"",VLOOKUP(A163,DOI_URL!$B$1:$C$74,2,FALSE()))</f>
        <v>https://drive.google.com/file/d/1BdPVbZqhRPjpQtD2C1u09sYXBdr84-HR/view?usp=sharing</v>
      </c>
      <c r="C163" s="17" t="s">
        <v>3311</v>
      </c>
      <c r="D163" s="17" t="s">
        <v>3311</v>
      </c>
      <c r="E163" s="17" t="s">
        <v>491</v>
      </c>
      <c r="F163" s="17" t="s">
        <v>494</v>
      </c>
      <c r="G163" s="17" t="s">
        <v>495</v>
      </c>
      <c r="H163" s="17" t="s">
        <v>496</v>
      </c>
      <c r="I163" s="17" t="s">
        <v>39</v>
      </c>
      <c r="J163" s="17" t="s">
        <v>488</v>
      </c>
      <c r="K163" s="22"/>
      <c r="L163" s="22"/>
      <c r="M163" s="22"/>
      <c r="N163" s="22"/>
      <c r="O163" s="22"/>
      <c r="P163" s="22"/>
      <c r="Q163" s="22"/>
      <c r="R163" s="22"/>
      <c r="S163" s="22"/>
      <c r="T163" s="22"/>
      <c r="U163" s="22"/>
      <c r="V163" s="22"/>
      <c r="W163" s="22"/>
      <c r="X163" s="22"/>
      <c r="Y163" s="22"/>
      <c r="Z163" s="22"/>
      <c r="AA163" s="22"/>
      <c r="AB163" s="22"/>
      <c r="AC163" s="22"/>
      <c r="AD163" s="22"/>
      <c r="AE163" s="22"/>
    </row>
    <row r="164">
      <c r="A164" s="17" t="s">
        <v>483</v>
      </c>
      <c r="B164" s="167" t="str">
        <f>IF(ISBLANK(A164),"",VLOOKUP(A164,DOI_URL!$B$1:$C$74,2,FALSE()))</f>
        <v>https://drive.google.com/file/d/1BdPVbZqhRPjpQtD2C1u09sYXBdr84-HR/view?usp=sharing</v>
      </c>
      <c r="C164" s="17" t="s">
        <v>3311</v>
      </c>
      <c r="D164" s="17" t="s">
        <v>3311</v>
      </c>
      <c r="E164" s="17" t="s">
        <v>491</v>
      </c>
      <c r="F164" s="17" t="s">
        <v>494</v>
      </c>
      <c r="G164" s="17" t="s">
        <v>497</v>
      </c>
      <c r="H164" s="17" t="s">
        <v>496</v>
      </c>
      <c r="I164" s="17" t="s">
        <v>39</v>
      </c>
      <c r="J164" s="17" t="s">
        <v>488</v>
      </c>
      <c r="K164" s="22"/>
      <c r="L164" s="22"/>
      <c r="M164" s="22"/>
      <c r="N164" s="22"/>
      <c r="O164" s="22"/>
      <c r="P164" s="22"/>
      <c r="Q164" s="22"/>
      <c r="R164" s="22"/>
      <c r="S164" s="22"/>
      <c r="T164" s="22"/>
      <c r="U164" s="22"/>
      <c r="V164" s="22"/>
      <c r="W164" s="22"/>
      <c r="X164" s="22"/>
      <c r="Y164" s="22"/>
      <c r="Z164" s="22"/>
      <c r="AA164" s="22"/>
      <c r="AB164" s="22"/>
      <c r="AC164" s="22"/>
      <c r="AD164" s="22"/>
      <c r="AE164" s="22"/>
    </row>
    <row r="165">
      <c r="A165" s="17" t="s">
        <v>483</v>
      </c>
      <c r="B165" s="167" t="str">
        <f>IF(ISBLANK(A165),"",VLOOKUP(A165,DOI_URL!$B$1:$C$74,2,FALSE()))</f>
        <v>https://drive.google.com/file/d/1BdPVbZqhRPjpQtD2C1u09sYXBdr84-HR/view?usp=sharing</v>
      </c>
      <c r="C165" s="17" t="s">
        <v>3311</v>
      </c>
      <c r="D165" s="17" t="s">
        <v>3311</v>
      </c>
      <c r="E165" s="17" t="s">
        <v>491</v>
      </c>
      <c r="F165" s="17" t="s">
        <v>205</v>
      </c>
      <c r="G165" s="17" t="s">
        <v>498</v>
      </c>
      <c r="H165" s="17" t="s">
        <v>33</v>
      </c>
      <c r="I165" s="17" t="s">
        <v>14</v>
      </c>
      <c r="J165" s="17" t="s">
        <v>488</v>
      </c>
      <c r="K165" s="22"/>
      <c r="L165" s="22"/>
      <c r="M165" s="22"/>
      <c r="N165" s="22"/>
      <c r="O165" s="22"/>
      <c r="P165" s="22"/>
      <c r="Q165" s="22"/>
      <c r="R165" s="22"/>
      <c r="S165" s="22"/>
      <c r="T165" s="22"/>
      <c r="U165" s="22"/>
      <c r="V165" s="22"/>
      <c r="W165" s="22"/>
      <c r="X165" s="22"/>
      <c r="Y165" s="22"/>
      <c r="Z165" s="22"/>
      <c r="AA165" s="22"/>
      <c r="AB165" s="22"/>
      <c r="AC165" s="22"/>
      <c r="AD165" s="22"/>
      <c r="AE165" s="22"/>
    </row>
    <row r="166">
      <c r="A166" s="17" t="s">
        <v>483</v>
      </c>
      <c r="B166" s="167" t="str">
        <f>IF(ISBLANK(A166),"",VLOOKUP(A166,DOI_URL!$B$1:$C$74,2,FALSE()))</f>
        <v>https://drive.google.com/file/d/1BdPVbZqhRPjpQtD2C1u09sYXBdr84-HR/view?usp=sharing</v>
      </c>
      <c r="C166" s="17" t="s">
        <v>3311</v>
      </c>
      <c r="D166" s="17" t="s">
        <v>3311</v>
      </c>
      <c r="E166" s="17" t="s">
        <v>491</v>
      </c>
      <c r="F166" s="17" t="s">
        <v>499</v>
      </c>
      <c r="G166" s="17" t="s">
        <v>500</v>
      </c>
      <c r="H166" s="17" t="s">
        <v>2463</v>
      </c>
      <c r="I166" s="17" t="s">
        <v>54</v>
      </c>
      <c r="J166" s="17" t="s">
        <v>488</v>
      </c>
      <c r="K166" s="22"/>
      <c r="L166" s="22"/>
      <c r="M166" s="22"/>
      <c r="N166" s="22"/>
      <c r="O166" s="22"/>
      <c r="P166" s="22"/>
      <c r="Q166" s="22"/>
      <c r="R166" s="22"/>
      <c r="S166" s="22"/>
      <c r="T166" s="22"/>
      <c r="U166" s="22"/>
      <c r="V166" s="22"/>
      <c r="W166" s="22"/>
      <c r="X166" s="22"/>
      <c r="Y166" s="22"/>
      <c r="Z166" s="22"/>
      <c r="AA166" s="22"/>
      <c r="AB166" s="22"/>
      <c r="AC166" s="22"/>
      <c r="AD166" s="22"/>
      <c r="AE166" s="22"/>
    </row>
    <row r="167">
      <c r="A167" s="17" t="s">
        <v>514</v>
      </c>
      <c r="B167" s="167" t="str">
        <f>IF(ISBLANK(A167),"",VLOOKUP(A167,DOI_URL!$B$1:$C$74,2,FALSE()))</f>
        <v>https://drive.google.com/file/d/1RzOhNqo2NAJh1a6rLvxjmfpe4Tvp0p8O/view?usp=sharing</v>
      </c>
      <c r="C167" s="17" t="s">
        <v>3309</v>
      </c>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row>
    <row r="168">
      <c r="A168" s="17" t="s">
        <v>516</v>
      </c>
      <c r="B168" s="167" t="str">
        <f>IF(ISBLANK(A168),"",VLOOKUP(A168,DOI_URL!$B$1:$C$74,2,FALSE()))</f>
        <v>https://drive.google.com/file/d/1fWVv7IxOr7m5mRMjsD2Pmzw6EQ48SIci/view?usp=sharing</v>
      </c>
      <c r="C168" s="17" t="s">
        <v>3311</v>
      </c>
      <c r="D168" s="17" t="s">
        <v>3311</v>
      </c>
      <c r="E168" s="17" t="s">
        <v>517</v>
      </c>
      <c r="F168" s="17" t="s">
        <v>518</v>
      </c>
      <c r="G168" s="17" t="s">
        <v>519</v>
      </c>
      <c r="H168" s="17" t="s">
        <v>2469</v>
      </c>
      <c r="I168" s="17" t="s">
        <v>91</v>
      </c>
      <c r="J168" s="17" t="s">
        <v>521</v>
      </c>
      <c r="K168" s="22"/>
      <c r="L168" s="22"/>
      <c r="M168" s="22"/>
      <c r="N168" s="22"/>
      <c r="O168" s="22"/>
      <c r="P168" s="22"/>
      <c r="Q168" s="22"/>
      <c r="R168" s="22"/>
      <c r="S168" s="22"/>
      <c r="T168" s="22"/>
      <c r="U168" s="22"/>
      <c r="V168" s="22"/>
      <c r="W168" s="22"/>
      <c r="X168" s="22"/>
      <c r="Y168" s="22"/>
      <c r="Z168" s="22"/>
      <c r="AA168" s="22"/>
      <c r="AB168" s="22"/>
      <c r="AC168" s="22"/>
      <c r="AD168" s="22"/>
      <c r="AE168" s="22"/>
    </row>
    <row r="169">
      <c r="A169" s="17" t="s">
        <v>516</v>
      </c>
      <c r="B169" s="167" t="str">
        <f>IF(ISBLANK(A169),"",VLOOKUP(A169,DOI_URL!$B$1:$C$74,2,FALSE()))</f>
        <v>https://drive.google.com/file/d/1fWVv7IxOr7m5mRMjsD2Pmzw6EQ48SIci/view?usp=sharing</v>
      </c>
      <c r="C169" s="17" t="s">
        <v>3311</v>
      </c>
      <c r="D169" s="17" t="s">
        <v>3311</v>
      </c>
      <c r="E169" s="17" t="s">
        <v>522</v>
      </c>
      <c r="F169" s="17" t="s">
        <v>518</v>
      </c>
      <c r="G169" s="17" t="s">
        <v>2473</v>
      </c>
      <c r="H169" s="17" t="s">
        <v>524</v>
      </c>
      <c r="I169" s="17" t="s">
        <v>14</v>
      </c>
      <c r="J169" s="17" t="s">
        <v>521</v>
      </c>
      <c r="K169" s="22"/>
      <c r="L169" s="22"/>
      <c r="M169" s="22"/>
      <c r="N169" s="22"/>
      <c r="O169" s="22"/>
      <c r="P169" s="22"/>
      <c r="Q169" s="22"/>
      <c r="R169" s="22"/>
      <c r="S169" s="22"/>
      <c r="T169" s="22"/>
      <c r="U169" s="22"/>
      <c r="V169" s="22"/>
      <c r="W169" s="22"/>
      <c r="X169" s="22"/>
      <c r="Y169" s="22"/>
      <c r="Z169" s="22"/>
      <c r="AA169" s="22"/>
      <c r="AB169" s="22"/>
      <c r="AC169" s="22"/>
      <c r="AD169" s="22"/>
      <c r="AE169" s="22"/>
    </row>
    <row r="170">
      <c r="A170" s="17" t="s">
        <v>516</v>
      </c>
      <c r="B170" s="167" t="str">
        <f>IF(ISBLANK(A170),"",VLOOKUP(A170,DOI_URL!$B$1:$C$74,2,FALSE()))</f>
        <v>https://drive.google.com/file/d/1fWVv7IxOr7m5mRMjsD2Pmzw6EQ48SIci/view?usp=sharing</v>
      </c>
      <c r="C170" s="17" t="s">
        <v>3311</v>
      </c>
      <c r="D170" s="17" t="s">
        <v>3311</v>
      </c>
      <c r="E170" s="17" t="s">
        <v>525</v>
      </c>
      <c r="F170" s="17" t="s">
        <v>2475</v>
      </c>
      <c r="G170" s="17" t="s">
        <v>527</v>
      </c>
      <c r="H170" s="17" t="s">
        <v>528</v>
      </c>
      <c r="I170" s="17" t="s">
        <v>39</v>
      </c>
      <c r="J170" s="17" t="s">
        <v>521</v>
      </c>
      <c r="K170" s="22"/>
      <c r="L170" s="22"/>
      <c r="M170" s="22"/>
      <c r="N170" s="22"/>
      <c r="O170" s="22"/>
      <c r="P170" s="22"/>
      <c r="Q170" s="22"/>
      <c r="R170" s="22"/>
      <c r="S170" s="22"/>
      <c r="T170" s="22"/>
      <c r="U170" s="22"/>
      <c r="V170" s="22"/>
      <c r="W170" s="22"/>
      <c r="X170" s="22"/>
      <c r="Y170" s="22"/>
      <c r="Z170" s="22"/>
      <c r="AA170" s="22"/>
      <c r="AB170" s="22"/>
      <c r="AC170" s="22"/>
      <c r="AD170" s="22"/>
      <c r="AE170" s="22"/>
    </row>
    <row r="171">
      <c r="A171" s="17" t="s">
        <v>516</v>
      </c>
      <c r="B171" s="167" t="str">
        <f>IF(ISBLANK(A171),"",VLOOKUP(A171,DOI_URL!$B$1:$C$74,2,FALSE()))</f>
        <v>https://drive.google.com/file/d/1fWVv7IxOr7m5mRMjsD2Pmzw6EQ48SIci/view?usp=sharing</v>
      </c>
      <c r="C171" s="17" t="s">
        <v>3311</v>
      </c>
      <c r="D171" s="17" t="s">
        <v>3311</v>
      </c>
      <c r="E171" s="17" t="s">
        <v>529</v>
      </c>
      <c r="F171" s="17" t="s">
        <v>2475</v>
      </c>
      <c r="G171" s="17" t="s">
        <v>530</v>
      </c>
      <c r="H171" s="17" t="s">
        <v>531</v>
      </c>
      <c r="I171" s="17" t="s">
        <v>39</v>
      </c>
      <c r="J171" s="17" t="s">
        <v>521</v>
      </c>
      <c r="K171" s="22"/>
      <c r="L171" s="22"/>
      <c r="M171" s="22"/>
      <c r="N171" s="22"/>
      <c r="O171" s="22"/>
      <c r="P171" s="22"/>
      <c r="Q171" s="22"/>
      <c r="R171" s="22"/>
      <c r="S171" s="22"/>
      <c r="T171" s="22"/>
      <c r="U171" s="22"/>
      <c r="V171" s="22"/>
      <c r="W171" s="22"/>
      <c r="X171" s="22"/>
      <c r="Y171" s="22"/>
      <c r="Z171" s="22"/>
      <c r="AA171" s="22"/>
      <c r="AB171" s="22"/>
      <c r="AC171" s="22"/>
      <c r="AD171" s="22"/>
      <c r="AE171" s="22"/>
    </row>
    <row r="172">
      <c r="A172" s="17" t="s">
        <v>516</v>
      </c>
      <c r="B172" s="167" t="str">
        <f>IF(ISBLANK(A172),"",VLOOKUP(A172,DOI_URL!$B$1:$C$74,2,FALSE()))</f>
        <v>https://drive.google.com/file/d/1fWVv7IxOr7m5mRMjsD2Pmzw6EQ48SIci/view?usp=sharing</v>
      </c>
      <c r="C172" s="17" t="s">
        <v>3311</v>
      </c>
      <c r="D172" s="17" t="s">
        <v>3311</v>
      </c>
      <c r="E172" s="17" t="s">
        <v>529</v>
      </c>
      <c r="F172" s="17" t="s">
        <v>2475</v>
      </c>
      <c r="G172" s="17" t="s">
        <v>532</v>
      </c>
      <c r="H172" s="17" t="s">
        <v>531</v>
      </c>
      <c r="I172" s="17" t="s">
        <v>39</v>
      </c>
      <c r="J172" s="17" t="s">
        <v>521</v>
      </c>
      <c r="K172" s="22"/>
      <c r="L172" s="22"/>
      <c r="M172" s="22"/>
      <c r="N172" s="22"/>
      <c r="O172" s="22"/>
      <c r="P172" s="22"/>
      <c r="Q172" s="22"/>
      <c r="R172" s="22"/>
      <c r="S172" s="22"/>
      <c r="T172" s="22"/>
      <c r="U172" s="22"/>
      <c r="V172" s="22"/>
      <c r="W172" s="22"/>
      <c r="X172" s="22"/>
      <c r="Y172" s="22"/>
      <c r="Z172" s="22"/>
      <c r="AA172" s="22"/>
      <c r="AB172" s="22"/>
      <c r="AC172" s="22"/>
      <c r="AD172" s="22"/>
      <c r="AE172" s="22"/>
    </row>
    <row r="173">
      <c r="A173" s="17" t="s">
        <v>516</v>
      </c>
      <c r="B173" s="167" t="str">
        <f>IF(ISBLANK(A173),"",VLOOKUP(A173,DOI_URL!$B$1:$C$74,2,FALSE()))</f>
        <v>https://drive.google.com/file/d/1fWVv7IxOr7m5mRMjsD2Pmzw6EQ48SIci/view?usp=sharing</v>
      </c>
      <c r="C173" s="17" t="s">
        <v>3311</v>
      </c>
      <c r="D173" s="17" t="s">
        <v>3311</v>
      </c>
      <c r="E173" s="17" t="s">
        <v>529</v>
      </c>
      <c r="F173" s="17" t="s">
        <v>2475</v>
      </c>
      <c r="G173" s="17" t="s">
        <v>534</v>
      </c>
      <c r="H173" s="17" t="s">
        <v>531</v>
      </c>
      <c r="I173" s="17" t="s">
        <v>39</v>
      </c>
      <c r="J173" s="17" t="s">
        <v>521</v>
      </c>
      <c r="K173" s="22"/>
      <c r="L173" s="22"/>
      <c r="M173" s="22"/>
      <c r="N173" s="22"/>
      <c r="O173" s="22"/>
      <c r="P173" s="22"/>
      <c r="Q173" s="22"/>
      <c r="R173" s="22"/>
      <c r="S173" s="22"/>
      <c r="T173" s="22"/>
      <c r="U173" s="22"/>
      <c r="V173" s="22"/>
      <c r="W173" s="22"/>
      <c r="X173" s="22"/>
      <c r="Y173" s="22"/>
      <c r="Z173" s="22"/>
      <c r="AA173" s="22"/>
      <c r="AB173" s="22"/>
      <c r="AC173" s="22"/>
      <c r="AD173" s="22"/>
      <c r="AE173" s="22"/>
    </row>
    <row r="174">
      <c r="A174" s="17" t="s">
        <v>516</v>
      </c>
      <c r="B174" s="167" t="str">
        <f>IF(ISBLANK(A174),"",VLOOKUP(A174,DOI_URL!$B$1:$C$74,2,FALSE()))</f>
        <v>https://drive.google.com/file/d/1fWVv7IxOr7m5mRMjsD2Pmzw6EQ48SIci/view?usp=sharing</v>
      </c>
      <c r="C174" s="17" t="s">
        <v>3311</v>
      </c>
      <c r="D174" s="17" t="s">
        <v>3311</v>
      </c>
      <c r="E174" s="17" t="s">
        <v>535</v>
      </c>
      <c r="F174" s="17" t="s">
        <v>536</v>
      </c>
      <c r="G174" s="17" t="s">
        <v>537</v>
      </c>
      <c r="H174" s="17" t="s">
        <v>538</v>
      </c>
      <c r="I174" s="17" t="s">
        <v>39</v>
      </c>
      <c r="J174" s="17" t="s">
        <v>521</v>
      </c>
      <c r="K174" s="22"/>
      <c r="L174" s="22"/>
      <c r="M174" s="22"/>
      <c r="N174" s="22"/>
      <c r="O174" s="22"/>
      <c r="P174" s="22"/>
      <c r="Q174" s="22"/>
      <c r="R174" s="22"/>
      <c r="S174" s="22"/>
      <c r="T174" s="22"/>
      <c r="U174" s="22"/>
      <c r="V174" s="22"/>
      <c r="W174" s="22"/>
      <c r="X174" s="22"/>
      <c r="Y174" s="22"/>
      <c r="Z174" s="22"/>
      <c r="AA174" s="22"/>
      <c r="AB174" s="22"/>
      <c r="AC174" s="22"/>
      <c r="AD174" s="22"/>
      <c r="AE174" s="22"/>
    </row>
    <row r="175">
      <c r="A175" s="17" t="s">
        <v>2201</v>
      </c>
      <c r="B175" s="167" t="str">
        <f>IF(ISBLANK(A175),"",VLOOKUP(A175,DOI_URL!$B$1:$C$74,2,FALSE()))</f>
        <v>https://drive.google.com/file/d/1CSl0IGiaYwhF9_4qapj_Bxp0Rq4uR3jq/view?usp=sharing</v>
      </c>
      <c r="C175" s="17" t="s">
        <v>3309</v>
      </c>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row>
    <row r="176">
      <c r="A176" s="17" t="s">
        <v>542</v>
      </c>
      <c r="B176" s="167" t="str">
        <f>IF(ISBLANK(A176),"",VLOOKUP(A176,DOI_URL!$B$1:$C$74,2,FALSE()))</f>
        <v>https://drive.google.com/file/d/1qDB5tlbRbUSd9fxKjqgVpFHVXMoIcQiK/view?usp=sharing</v>
      </c>
      <c r="C176" s="17" t="s">
        <v>3311</v>
      </c>
      <c r="D176" s="17" t="s">
        <v>3311</v>
      </c>
      <c r="E176" s="17" t="s">
        <v>543</v>
      </c>
      <c r="F176" s="17" t="s">
        <v>544</v>
      </c>
      <c r="G176" s="17" t="s">
        <v>545</v>
      </c>
      <c r="H176" s="17" t="s">
        <v>546</v>
      </c>
      <c r="I176" s="17" t="s">
        <v>54</v>
      </c>
      <c r="J176" s="17" t="s">
        <v>547</v>
      </c>
      <c r="K176" s="22"/>
      <c r="L176" s="22"/>
      <c r="M176" s="22"/>
      <c r="N176" s="22"/>
      <c r="O176" s="22"/>
      <c r="P176" s="22"/>
      <c r="Q176" s="22"/>
      <c r="R176" s="22"/>
      <c r="S176" s="22"/>
      <c r="T176" s="22"/>
      <c r="U176" s="22"/>
      <c r="V176" s="22"/>
      <c r="W176" s="22"/>
      <c r="X176" s="22"/>
      <c r="Y176" s="22"/>
      <c r="Z176" s="22"/>
      <c r="AA176" s="22"/>
      <c r="AB176" s="22"/>
      <c r="AC176" s="22"/>
      <c r="AD176" s="22"/>
      <c r="AE176" s="22"/>
    </row>
    <row r="177">
      <c r="A177" s="17" t="s">
        <v>542</v>
      </c>
      <c r="B177" s="167" t="str">
        <f>IF(ISBLANK(A177),"",VLOOKUP(A177,DOI_URL!$B$1:$C$74,2,FALSE()))</f>
        <v>https://drive.google.com/file/d/1qDB5tlbRbUSd9fxKjqgVpFHVXMoIcQiK/view?usp=sharing</v>
      </c>
      <c r="C177" s="17" t="s">
        <v>3311</v>
      </c>
      <c r="D177" s="17" t="s">
        <v>3311</v>
      </c>
      <c r="E177" s="17" t="s">
        <v>548</v>
      </c>
      <c r="F177" s="17" t="s">
        <v>2500</v>
      </c>
      <c r="G177" s="17" t="s">
        <v>550</v>
      </c>
      <c r="H177" s="17" t="s">
        <v>551</v>
      </c>
      <c r="I177" s="17" t="s">
        <v>54</v>
      </c>
      <c r="J177" s="17" t="s">
        <v>547</v>
      </c>
      <c r="K177" s="22"/>
      <c r="L177" s="22"/>
      <c r="M177" s="22"/>
      <c r="N177" s="22"/>
      <c r="O177" s="22"/>
      <c r="P177" s="22"/>
      <c r="Q177" s="22"/>
      <c r="R177" s="22"/>
      <c r="S177" s="22"/>
      <c r="T177" s="22"/>
      <c r="U177" s="22"/>
      <c r="V177" s="22"/>
      <c r="W177" s="22"/>
      <c r="X177" s="22"/>
      <c r="Y177" s="22"/>
      <c r="Z177" s="22"/>
      <c r="AA177" s="22"/>
      <c r="AB177" s="22"/>
      <c r="AC177" s="22"/>
      <c r="AD177" s="22"/>
      <c r="AE177" s="22"/>
    </row>
    <row r="178">
      <c r="A178" s="17" t="s">
        <v>542</v>
      </c>
      <c r="B178" s="167" t="str">
        <f>IF(ISBLANK(A178),"",VLOOKUP(A178,DOI_URL!$B$1:$C$74,2,FALSE()))</f>
        <v>https://drive.google.com/file/d/1qDB5tlbRbUSd9fxKjqgVpFHVXMoIcQiK/view?usp=sharing</v>
      </c>
      <c r="C178" s="17" t="s">
        <v>3311</v>
      </c>
      <c r="D178" s="17" t="s">
        <v>3311</v>
      </c>
      <c r="E178" s="17" t="s">
        <v>548</v>
      </c>
      <c r="F178" s="17" t="s">
        <v>2500</v>
      </c>
      <c r="G178" s="17" t="s">
        <v>552</v>
      </c>
      <c r="H178" s="17" t="s">
        <v>551</v>
      </c>
      <c r="I178" s="17" t="s">
        <v>54</v>
      </c>
      <c r="J178" s="17" t="s">
        <v>547</v>
      </c>
      <c r="K178" s="22"/>
      <c r="L178" s="22"/>
      <c r="M178" s="22"/>
      <c r="N178" s="22"/>
      <c r="O178" s="22"/>
      <c r="P178" s="22"/>
      <c r="Q178" s="22"/>
      <c r="R178" s="22"/>
      <c r="S178" s="22"/>
      <c r="T178" s="22"/>
      <c r="U178" s="22"/>
      <c r="V178" s="22"/>
      <c r="W178" s="22"/>
      <c r="X178" s="22"/>
      <c r="Y178" s="22"/>
      <c r="Z178" s="22"/>
      <c r="AA178" s="22"/>
      <c r="AB178" s="22"/>
      <c r="AC178" s="22"/>
      <c r="AD178" s="22"/>
      <c r="AE178" s="22"/>
    </row>
    <row r="179">
      <c r="A179" s="17" t="s">
        <v>542</v>
      </c>
      <c r="B179" s="167" t="str">
        <f>IF(ISBLANK(A179),"",VLOOKUP(A179,DOI_URL!$B$1:$C$74,2,FALSE()))</f>
        <v>https://drive.google.com/file/d/1qDB5tlbRbUSd9fxKjqgVpFHVXMoIcQiK/view?usp=sharing</v>
      </c>
      <c r="C179" s="17" t="s">
        <v>3311</v>
      </c>
      <c r="D179" s="17" t="s">
        <v>3311</v>
      </c>
      <c r="E179" s="17" t="s">
        <v>553</v>
      </c>
      <c r="F179" s="17" t="s">
        <v>554</v>
      </c>
      <c r="G179" s="17" t="s">
        <v>555</v>
      </c>
      <c r="H179" s="17" t="s">
        <v>556</v>
      </c>
      <c r="I179" s="17" t="s">
        <v>54</v>
      </c>
      <c r="J179" s="17" t="s">
        <v>547</v>
      </c>
      <c r="K179" s="22"/>
      <c r="L179" s="22"/>
      <c r="M179" s="22"/>
      <c r="N179" s="22"/>
      <c r="O179" s="22"/>
      <c r="P179" s="22"/>
      <c r="Q179" s="22"/>
      <c r="R179" s="22"/>
      <c r="S179" s="22"/>
      <c r="T179" s="22"/>
      <c r="U179" s="22"/>
      <c r="V179" s="22"/>
      <c r="W179" s="22"/>
      <c r="X179" s="22"/>
      <c r="Y179" s="22"/>
      <c r="Z179" s="22"/>
      <c r="AA179" s="22"/>
      <c r="AB179" s="22"/>
      <c r="AC179" s="22"/>
      <c r="AD179" s="22"/>
      <c r="AE179" s="22"/>
    </row>
    <row r="180">
      <c r="A180" s="17" t="s">
        <v>542</v>
      </c>
      <c r="B180" s="167" t="str">
        <f>IF(ISBLANK(A180),"",VLOOKUP(A180,DOI_URL!$B$1:$C$74,2,FALSE()))</f>
        <v>https://drive.google.com/file/d/1qDB5tlbRbUSd9fxKjqgVpFHVXMoIcQiK/view?usp=sharing</v>
      </c>
      <c r="C180" s="17" t="s">
        <v>3311</v>
      </c>
      <c r="D180" s="17" t="s">
        <v>3311</v>
      </c>
      <c r="E180" s="17" t="s">
        <v>553</v>
      </c>
      <c r="F180" s="17" t="s">
        <v>554</v>
      </c>
      <c r="G180" s="17" t="s">
        <v>558</v>
      </c>
      <c r="H180" s="17" t="s">
        <v>556</v>
      </c>
      <c r="I180" s="17" t="s">
        <v>54</v>
      </c>
      <c r="J180" s="17" t="s">
        <v>547</v>
      </c>
      <c r="K180" s="22"/>
      <c r="L180" s="22"/>
      <c r="M180" s="22"/>
      <c r="N180" s="22"/>
      <c r="O180" s="22"/>
      <c r="P180" s="22"/>
      <c r="Q180" s="22"/>
      <c r="R180" s="22"/>
      <c r="S180" s="22"/>
      <c r="T180" s="22"/>
      <c r="U180" s="22"/>
      <c r="V180" s="22"/>
      <c r="W180" s="22"/>
      <c r="X180" s="22"/>
      <c r="Y180" s="22"/>
      <c r="Z180" s="22"/>
      <c r="AA180" s="22"/>
      <c r="AB180" s="22"/>
      <c r="AC180" s="22"/>
      <c r="AD180" s="22"/>
      <c r="AE180" s="22"/>
    </row>
    <row r="181">
      <c r="A181" s="17" t="s">
        <v>542</v>
      </c>
      <c r="B181" s="167" t="str">
        <f>IF(ISBLANK(A181),"",VLOOKUP(A181,DOI_URL!$B$1:$C$74,2,FALSE()))</f>
        <v>https://drive.google.com/file/d/1qDB5tlbRbUSd9fxKjqgVpFHVXMoIcQiK/view?usp=sharing</v>
      </c>
      <c r="C181" s="17" t="s">
        <v>3311</v>
      </c>
      <c r="D181" s="17" t="s">
        <v>3311</v>
      </c>
      <c r="E181" s="17" t="s">
        <v>559</v>
      </c>
      <c r="F181" s="35" t="s">
        <v>803</v>
      </c>
      <c r="G181" s="17" t="s">
        <v>560</v>
      </c>
      <c r="H181" s="17" t="s">
        <v>561</v>
      </c>
      <c r="I181" s="17" t="s">
        <v>44</v>
      </c>
      <c r="J181" s="17" t="s">
        <v>547</v>
      </c>
      <c r="K181" s="22"/>
      <c r="L181" s="22"/>
      <c r="M181" s="22"/>
      <c r="N181" s="22"/>
      <c r="O181" s="22"/>
      <c r="P181" s="22"/>
      <c r="Q181" s="22"/>
      <c r="R181" s="22"/>
      <c r="S181" s="22"/>
      <c r="T181" s="22"/>
      <c r="U181" s="22"/>
      <c r="V181" s="22"/>
      <c r="W181" s="22"/>
      <c r="X181" s="22"/>
      <c r="Y181" s="22"/>
      <c r="Z181" s="22"/>
      <c r="AA181" s="22"/>
      <c r="AB181" s="22"/>
      <c r="AC181" s="22"/>
      <c r="AD181" s="22"/>
      <c r="AE181" s="22"/>
    </row>
    <row r="182">
      <c r="A182" s="17" t="s">
        <v>542</v>
      </c>
      <c r="B182" s="167" t="str">
        <f>IF(ISBLANK(A182),"",VLOOKUP(A182,DOI_URL!$B$1:$C$74,2,FALSE()))</f>
        <v>https://drive.google.com/file/d/1qDB5tlbRbUSd9fxKjqgVpFHVXMoIcQiK/view?usp=sharing</v>
      </c>
      <c r="C182" s="17" t="s">
        <v>3311</v>
      </c>
      <c r="D182" s="17" t="s">
        <v>3311</v>
      </c>
      <c r="E182" s="17" t="s">
        <v>563</v>
      </c>
      <c r="F182" s="17" t="s">
        <v>564</v>
      </c>
      <c r="G182" s="17" t="s">
        <v>565</v>
      </c>
      <c r="H182" s="17" t="s">
        <v>566</v>
      </c>
      <c r="I182" s="17" t="s">
        <v>39</v>
      </c>
      <c r="J182" s="17" t="s">
        <v>547</v>
      </c>
      <c r="K182" s="22"/>
      <c r="L182" s="22"/>
      <c r="M182" s="22"/>
      <c r="N182" s="22"/>
      <c r="O182" s="22"/>
      <c r="P182" s="22"/>
      <c r="Q182" s="22"/>
      <c r="R182" s="22"/>
      <c r="S182" s="22"/>
      <c r="T182" s="22"/>
      <c r="U182" s="22"/>
      <c r="V182" s="22"/>
      <c r="W182" s="22"/>
      <c r="X182" s="22"/>
      <c r="Y182" s="22"/>
      <c r="Z182" s="22"/>
      <c r="AA182" s="22"/>
      <c r="AB182" s="22"/>
      <c r="AC182" s="22"/>
      <c r="AD182" s="22"/>
      <c r="AE182" s="22"/>
    </row>
    <row r="183">
      <c r="A183" s="17" t="s">
        <v>542</v>
      </c>
      <c r="B183" s="167" t="str">
        <f>IF(ISBLANK(A183),"",VLOOKUP(A183,DOI_URL!$B$1:$C$74,2,FALSE()))</f>
        <v>https://drive.google.com/file/d/1qDB5tlbRbUSd9fxKjqgVpFHVXMoIcQiK/view?usp=sharing</v>
      </c>
      <c r="C183" s="17" t="s">
        <v>3311</v>
      </c>
      <c r="D183" s="17" t="s">
        <v>3311</v>
      </c>
      <c r="E183" s="17" t="s">
        <v>567</v>
      </c>
      <c r="F183" s="17" t="s">
        <v>568</v>
      </c>
      <c r="G183" s="17" t="s">
        <v>569</v>
      </c>
      <c r="H183" s="17" t="s">
        <v>570</v>
      </c>
      <c r="I183" s="17" t="s">
        <v>39</v>
      </c>
      <c r="J183" s="17" t="s">
        <v>547</v>
      </c>
      <c r="K183" s="22"/>
      <c r="L183" s="22"/>
      <c r="M183" s="22"/>
      <c r="N183" s="22"/>
      <c r="O183" s="22"/>
      <c r="P183" s="22"/>
      <c r="Q183" s="22"/>
      <c r="R183" s="22"/>
      <c r="S183" s="22"/>
      <c r="T183" s="22"/>
      <c r="U183" s="22"/>
      <c r="V183" s="22"/>
      <c r="W183" s="22"/>
      <c r="X183" s="22"/>
      <c r="Y183" s="22"/>
      <c r="Z183" s="22"/>
      <c r="AA183" s="22"/>
      <c r="AB183" s="22"/>
      <c r="AC183" s="22"/>
      <c r="AD183" s="22"/>
      <c r="AE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c r="AA184" s="22"/>
      <c r="AB184" s="22"/>
      <c r="AC184" s="22"/>
      <c r="AD184" s="22"/>
      <c r="AE184" s="22"/>
    </row>
    <row r="185">
      <c r="A185" s="22" t="s">
        <v>571</v>
      </c>
      <c r="B185" s="167" t="str">
        <f>IF(ISBLANK(A185),"",VLOOKUP(A185,DOI_URL!$B$1:$C$74,2,FALSE()))</f>
        <v>https://drive.google.com/file/d/1V7ukGVfTRarqinsM0HbZdQC6pcSpYd7S/view?usp=sharing</v>
      </c>
      <c r="C185" s="22" t="s">
        <v>3311</v>
      </c>
      <c r="D185" s="22" t="s">
        <v>3311</v>
      </c>
      <c r="E185" s="22" t="s">
        <v>573</v>
      </c>
      <c r="F185" s="22" t="s">
        <v>574</v>
      </c>
      <c r="G185" s="22" t="s">
        <v>575</v>
      </c>
      <c r="H185" s="22" t="s">
        <v>576</v>
      </c>
      <c r="I185" s="22" t="s">
        <v>91</v>
      </c>
      <c r="J185" s="22" t="s">
        <v>577</v>
      </c>
      <c r="K185" s="22"/>
      <c r="L185" s="22"/>
      <c r="M185" s="22"/>
      <c r="N185" s="22"/>
      <c r="O185" s="22"/>
      <c r="P185" s="22"/>
      <c r="Q185" s="22"/>
      <c r="R185" s="22"/>
      <c r="S185" s="22"/>
      <c r="T185" s="22"/>
      <c r="U185" s="22"/>
      <c r="V185" s="22"/>
      <c r="W185" s="22"/>
      <c r="X185" s="22"/>
      <c r="Y185" s="22"/>
      <c r="Z185" s="22"/>
      <c r="AA185" s="22"/>
      <c r="AB185" s="22"/>
      <c r="AC185" s="22"/>
      <c r="AD185" s="22"/>
      <c r="AE185" s="22"/>
    </row>
    <row r="186">
      <c r="A186" s="22" t="s">
        <v>571</v>
      </c>
      <c r="B186" s="167" t="str">
        <f>IF(ISBLANK(A186),"",VLOOKUP(A186,DOI_URL!$B$1:$C$74,2,FALSE()))</f>
        <v>https://drive.google.com/file/d/1V7ukGVfTRarqinsM0HbZdQC6pcSpYd7S/view?usp=sharing</v>
      </c>
      <c r="C186" s="22" t="s">
        <v>3311</v>
      </c>
      <c r="D186" s="22" t="s">
        <v>3311</v>
      </c>
      <c r="E186" s="22" t="s">
        <v>579</v>
      </c>
      <c r="F186" s="22" t="s">
        <v>412</v>
      </c>
      <c r="G186" s="22" t="s">
        <v>580</v>
      </c>
      <c r="H186" s="22" t="s">
        <v>38</v>
      </c>
      <c r="I186" s="22" t="s">
        <v>39</v>
      </c>
      <c r="J186" s="22" t="s">
        <v>577</v>
      </c>
      <c r="K186" s="22"/>
      <c r="L186" s="22"/>
      <c r="M186" s="22"/>
      <c r="N186" s="22"/>
      <c r="O186" s="22"/>
      <c r="P186" s="22"/>
      <c r="Q186" s="22"/>
      <c r="R186" s="22"/>
      <c r="S186" s="22"/>
      <c r="T186" s="22"/>
      <c r="U186" s="22"/>
      <c r="V186" s="22"/>
      <c r="W186" s="22"/>
      <c r="X186" s="22"/>
      <c r="Y186" s="22"/>
      <c r="Z186" s="22"/>
      <c r="AA186" s="22"/>
      <c r="AB186" s="22"/>
      <c r="AC186" s="22"/>
      <c r="AD186" s="22"/>
      <c r="AE186" s="22"/>
    </row>
    <row r="187">
      <c r="A187" s="22" t="s">
        <v>571</v>
      </c>
      <c r="B187" s="167" t="str">
        <f>IF(ISBLANK(A187),"",VLOOKUP(A187,DOI_URL!$B$1:$C$74,2,FALSE()))</f>
        <v>https://drive.google.com/file/d/1V7ukGVfTRarqinsM0HbZdQC6pcSpYd7S/view?usp=sharing</v>
      </c>
      <c r="C187" s="22" t="s">
        <v>3311</v>
      </c>
      <c r="D187" s="22" t="s">
        <v>3311</v>
      </c>
      <c r="E187" s="22" t="s">
        <v>579</v>
      </c>
      <c r="F187" s="22" t="s">
        <v>2501</v>
      </c>
      <c r="G187" s="22" t="s">
        <v>582</v>
      </c>
      <c r="H187" s="22" t="s">
        <v>309</v>
      </c>
      <c r="I187" s="22" t="s">
        <v>39</v>
      </c>
      <c r="J187" s="22" t="s">
        <v>577</v>
      </c>
      <c r="K187" s="22"/>
      <c r="L187" s="22"/>
      <c r="M187" s="22"/>
      <c r="N187" s="22"/>
      <c r="O187" s="22"/>
      <c r="P187" s="22"/>
      <c r="Q187" s="22"/>
      <c r="R187" s="22"/>
      <c r="S187" s="22"/>
      <c r="T187" s="22"/>
      <c r="U187" s="22"/>
      <c r="V187" s="22"/>
      <c r="W187" s="22"/>
      <c r="X187" s="22"/>
      <c r="Y187" s="22"/>
      <c r="Z187" s="22"/>
      <c r="AA187" s="22"/>
      <c r="AB187" s="22"/>
      <c r="AC187" s="22"/>
      <c r="AD187" s="22"/>
      <c r="AE187" s="22"/>
    </row>
    <row r="188">
      <c r="A188" s="22" t="s">
        <v>587</v>
      </c>
      <c r="B188" s="167" t="str">
        <f>IF(ISBLANK(A188),"",VLOOKUP(A188,DOI_URL!$B$1:$C$74,2,FALSE()))</f>
        <v>https://drive.google.com/file/d/1nk8DK_uu5jRUPeeE5JsOaKFX0eXEUPe2/view?usp=sharing</v>
      </c>
      <c r="C188" s="22" t="s">
        <v>3311</v>
      </c>
      <c r="D188" s="22" t="s">
        <v>3311</v>
      </c>
      <c r="E188" s="22" t="s">
        <v>588</v>
      </c>
      <c r="F188" s="22" t="s">
        <v>33</v>
      </c>
      <c r="G188" s="22" t="s">
        <v>589</v>
      </c>
      <c r="H188" s="22" t="s">
        <v>590</v>
      </c>
      <c r="I188" s="22" t="s">
        <v>91</v>
      </c>
      <c r="J188" s="22" t="s">
        <v>372</v>
      </c>
      <c r="K188" s="22"/>
      <c r="L188" s="22"/>
      <c r="M188" s="22"/>
      <c r="N188" s="22"/>
      <c r="O188" s="22"/>
      <c r="P188" s="22"/>
      <c r="Q188" s="22"/>
      <c r="R188" s="22"/>
      <c r="S188" s="22"/>
      <c r="T188" s="22"/>
      <c r="U188" s="22"/>
      <c r="V188" s="22"/>
      <c r="W188" s="22"/>
      <c r="X188" s="22"/>
      <c r="Y188" s="22"/>
      <c r="Z188" s="22"/>
      <c r="AA188" s="22"/>
      <c r="AB188" s="22"/>
      <c r="AC188" s="22"/>
      <c r="AD188" s="22"/>
      <c r="AE188" s="22"/>
    </row>
    <row r="189">
      <c r="A189" s="22" t="s">
        <v>587</v>
      </c>
      <c r="B189" s="167" t="str">
        <f>IF(ISBLANK(A189),"",VLOOKUP(A189,DOI_URL!$B$1:$C$74,2,FALSE()))</f>
        <v>https://drive.google.com/file/d/1nk8DK_uu5jRUPeeE5JsOaKFX0eXEUPe2/view?usp=sharing</v>
      </c>
      <c r="C189" s="22" t="s">
        <v>3311</v>
      </c>
      <c r="D189" s="22" t="s">
        <v>3311</v>
      </c>
      <c r="E189" s="22" t="s">
        <v>591</v>
      </c>
      <c r="F189" s="22" t="s">
        <v>592</v>
      </c>
      <c r="G189" s="22" t="s">
        <v>593</v>
      </c>
      <c r="H189" s="22" t="s">
        <v>594</v>
      </c>
      <c r="I189" s="22" t="s">
        <v>91</v>
      </c>
      <c r="J189" s="22" t="s">
        <v>372</v>
      </c>
      <c r="K189" s="22"/>
      <c r="L189" s="22"/>
      <c r="M189" s="22"/>
      <c r="N189" s="22"/>
      <c r="O189" s="22"/>
      <c r="P189" s="22"/>
      <c r="Q189" s="22"/>
      <c r="R189" s="22"/>
      <c r="S189" s="22"/>
      <c r="T189" s="22"/>
      <c r="U189" s="22"/>
      <c r="V189" s="22"/>
      <c r="W189" s="22"/>
      <c r="X189" s="22"/>
      <c r="Y189" s="22"/>
      <c r="Z189" s="22"/>
      <c r="AA189" s="22"/>
      <c r="AB189" s="22"/>
      <c r="AC189" s="22"/>
      <c r="AD189" s="22"/>
      <c r="AE189" s="22"/>
    </row>
    <row r="190">
      <c r="A190" s="22" t="s">
        <v>587</v>
      </c>
      <c r="B190" s="167" t="str">
        <f>IF(ISBLANK(A190),"",VLOOKUP(A190,DOI_URL!$B$1:$C$74,2,FALSE()))</f>
        <v>https://drive.google.com/file/d/1nk8DK_uu5jRUPeeE5JsOaKFX0eXEUPe2/view?usp=sharing</v>
      </c>
      <c r="C190" s="22" t="s">
        <v>3311</v>
      </c>
      <c r="D190" s="22" t="s">
        <v>3311</v>
      </c>
      <c r="E190" s="22" t="s">
        <v>595</v>
      </c>
      <c r="F190" s="22" t="s">
        <v>33</v>
      </c>
      <c r="G190" s="22" t="s">
        <v>596</v>
      </c>
      <c r="H190" s="22" t="s">
        <v>597</v>
      </c>
      <c r="I190" s="22" t="s">
        <v>44</v>
      </c>
      <c r="J190" s="22" t="s">
        <v>372</v>
      </c>
      <c r="K190" s="22"/>
      <c r="L190" s="22"/>
      <c r="M190" s="22"/>
      <c r="N190" s="22"/>
      <c r="O190" s="22"/>
      <c r="P190" s="22"/>
      <c r="Q190" s="22"/>
      <c r="R190" s="22"/>
      <c r="S190" s="22"/>
      <c r="T190" s="22"/>
      <c r="U190" s="22"/>
      <c r="V190" s="22"/>
      <c r="W190" s="22"/>
      <c r="X190" s="22"/>
      <c r="Y190" s="22"/>
      <c r="Z190" s="22"/>
      <c r="AA190" s="22"/>
      <c r="AB190" s="22"/>
      <c r="AC190" s="22"/>
      <c r="AD190" s="22"/>
      <c r="AE190" s="22"/>
    </row>
    <row r="191">
      <c r="A191" s="22" t="s">
        <v>598</v>
      </c>
      <c r="B191" s="167" t="str">
        <f>IF(ISBLANK(A191),"",VLOOKUP(A191,DOI_URL!$B$1:$C$74,2,FALSE()))</f>
        <v>https://drive.google.com/file/d/1gauBY3c2laD_XNzROdOmX9qSs8AfvPe8/view?usp=sharing</v>
      </c>
      <c r="C191" s="22" t="s">
        <v>3311</v>
      </c>
      <c r="D191" s="22" t="s">
        <v>3311</v>
      </c>
      <c r="E191" s="22" t="s">
        <v>599</v>
      </c>
      <c r="F191" s="22" t="s">
        <v>600</v>
      </c>
      <c r="G191" s="22" t="s">
        <v>601</v>
      </c>
      <c r="H191" s="22" t="s">
        <v>602</v>
      </c>
      <c r="I191" s="22" t="s">
        <v>44</v>
      </c>
      <c r="J191" s="22" t="s">
        <v>603</v>
      </c>
      <c r="K191" s="22"/>
      <c r="L191" s="22"/>
      <c r="M191" s="22"/>
      <c r="N191" s="22"/>
      <c r="O191" s="22"/>
      <c r="P191" s="22"/>
      <c r="Q191" s="22"/>
      <c r="R191" s="22"/>
      <c r="S191" s="22"/>
      <c r="T191" s="22"/>
      <c r="U191" s="22"/>
      <c r="V191" s="22"/>
      <c r="W191" s="22"/>
      <c r="X191" s="22"/>
      <c r="Y191" s="22"/>
      <c r="Z191" s="22"/>
      <c r="AA191" s="22"/>
      <c r="AB191" s="22"/>
      <c r="AC191" s="22"/>
      <c r="AD191" s="22"/>
      <c r="AE191" s="22"/>
    </row>
    <row r="192">
      <c r="A192" s="22" t="s">
        <v>598</v>
      </c>
      <c r="B192" s="167" t="str">
        <f>IF(ISBLANK(A192),"",VLOOKUP(A192,DOI_URL!$B$1:$C$74,2,FALSE()))</f>
        <v>https://drive.google.com/file/d/1gauBY3c2laD_XNzROdOmX9qSs8AfvPe8/view?usp=sharing</v>
      </c>
      <c r="C192" s="22" t="s">
        <v>3311</v>
      </c>
      <c r="D192" s="22" t="s">
        <v>3311</v>
      </c>
      <c r="E192" s="22" t="s">
        <v>605</v>
      </c>
      <c r="F192" s="22" t="s">
        <v>600</v>
      </c>
      <c r="G192" s="22" t="s">
        <v>606</v>
      </c>
      <c r="H192" s="22" t="s">
        <v>602</v>
      </c>
      <c r="I192" s="22" t="s">
        <v>44</v>
      </c>
      <c r="J192" s="22" t="s">
        <v>603</v>
      </c>
      <c r="K192" s="22"/>
      <c r="L192" s="22"/>
      <c r="M192" s="22"/>
      <c r="N192" s="22"/>
      <c r="O192" s="22"/>
      <c r="P192" s="22"/>
      <c r="Q192" s="22"/>
      <c r="R192" s="22"/>
      <c r="S192" s="22"/>
      <c r="T192" s="22"/>
      <c r="U192" s="22"/>
      <c r="V192" s="22"/>
      <c r="W192" s="22"/>
      <c r="X192" s="22"/>
      <c r="Y192" s="22"/>
      <c r="Z192" s="22"/>
      <c r="AA192" s="22"/>
      <c r="AB192" s="22"/>
      <c r="AC192" s="22"/>
      <c r="AD192" s="22"/>
      <c r="AE192" s="22"/>
    </row>
    <row r="193">
      <c r="A193" s="22" t="s">
        <v>598</v>
      </c>
      <c r="B193" s="167" t="str">
        <f>IF(ISBLANK(A193),"",VLOOKUP(A193,DOI_URL!$B$1:$C$74,2,FALSE()))</f>
        <v>https://drive.google.com/file/d/1gauBY3c2laD_XNzROdOmX9qSs8AfvPe8/view?usp=sharing</v>
      </c>
      <c r="C193" s="22" t="s">
        <v>3311</v>
      </c>
      <c r="D193" s="22" t="s">
        <v>3311</v>
      </c>
      <c r="E193" s="22" t="s">
        <v>608</v>
      </c>
      <c r="F193" s="22" t="s">
        <v>600</v>
      </c>
      <c r="G193" s="22" t="s">
        <v>609</v>
      </c>
      <c r="H193" s="22" t="s">
        <v>602</v>
      </c>
      <c r="I193" s="22" t="s">
        <v>44</v>
      </c>
      <c r="J193" s="22" t="s">
        <v>603</v>
      </c>
      <c r="K193" s="22"/>
      <c r="L193" s="22"/>
      <c r="M193" s="22"/>
      <c r="N193" s="22"/>
      <c r="O193" s="22"/>
      <c r="P193" s="22"/>
      <c r="Q193" s="22"/>
      <c r="R193" s="22"/>
      <c r="S193" s="22"/>
      <c r="T193" s="22"/>
      <c r="U193" s="22"/>
      <c r="V193" s="22"/>
      <c r="W193" s="22"/>
      <c r="X193" s="22"/>
      <c r="Y193" s="22"/>
      <c r="Z193" s="22"/>
      <c r="AA193" s="22"/>
      <c r="AB193" s="22"/>
      <c r="AC193" s="22"/>
      <c r="AD193" s="22"/>
      <c r="AE193" s="22"/>
    </row>
    <row r="194">
      <c r="A194" s="22" t="s">
        <v>598</v>
      </c>
      <c r="B194" s="167" t="str">
        <f>IF(ISBLANK(A194),"",VLOOKUP(A194,DOI_URL!$B$1:$C$74,2,FALSE()))</f>
        <v>https://drive.google.com/file/d/1gauBY3c2laD_XNzROdOmX9qSs8AfvPe8/view?usp=sharing</v>
      </c>
      <c r="C194" s="22" t="s">
        <v>3311</v>
      </c>
      <c r="D194" s="22" t="s">
        <v>3311</v>
      </c>
      <c r="E194" s="22" t="s">
        <v>611</v>
      </c>
      <c r="F194" s="22" t="s">
        <v>612</v>
      </c>
      <c r="G194" s="22" t="s">
        <v>613</v>
      </c>
      <c r="H194" s="22" t="s">
        <v>2521</v>
      </c>
      <c r="I194" s="22" t="s">
        <v>39</v>
      </c>
      <c r="J194" s="22" t="s">
        <v>603</v>
      </c>
      <c r="K194" s="22"/>
      <c r="L194" s="22"/>
      <c r="M194" s="22"/>
      <c r="N194" s="22"/>
      <c r="O194" s="22"/>
      <c r="P194" s="22"/>
      <c r="Q194" s="22"/>
      <c r="R194" s="22"/>
      <c r="S194" s="22"/>
      <c r="T194" s="22"/>
      <c r="U194" s="22"/>
      <c r="V194" s="22"/>
      <c r="W194" s="22"/>
      <c r="X194" s="22"/>
      <c r="Y194" s="22"/>
      <c r="Z194" s="22"/>
      <c r="AA194" s="22"/>
      <c r="AB194" s="22"/>
      <c r="AC194" s="22"/>
      <c r="AD194" s="22"/>
      <c r="AE194" s="22"/>
    </row>
    <row r="195">
      <c r="A195" s="22" t="s">
        <v>598</v>
      </c>
      <c r="B195" s="167" t="str">
        <f>IF(ISBLANK(A195),"",VLOOKUP(A195,DOI_URL!$B$1:$C$74,2,FALSE()))</f>
        <v>https://drive.google.com/file/d/1gauBY3c2laD_XNzROdOmX9qSs8AfvPe8/view?usp=sharing</v>
      </c>
      <c r="C195" s="22" t="s">
        <v>3311</v>
      </c>
      <c r="D195" s="22" t="s">
        <v>3311</v>
      </c>
      <c r="E195" s="22" t="s">
        <v>611</v>
      </c>
      <c r="F195" s="22" t="s">
        <v>612</v>
      </c>
      <c r="G195" s="22" t="s">
        <v>615</v>
      </c>
      <c r="H195" s="22" t="s">
        <v>2521</v>
      </c>
      <c r="I195" s="22" t="s">
        <v>39</v>
      </c>
      <c r="J195" s="22" t="s">
        <v>603</v>
      </c>
      <c r="K195" s="22"/>
      <c r="L195" s="22"/>
      <c r="M195" s="22"/>
      <c r="N195" s="22"/>
      <c r="O195" s="22"/>
      <c r="P195" s="22"/>
      <c r="Q195" s="22"/>
      <c r="R195" s="22"/>
      <c r="S195" s="22"/>
      <c r="T195" s="22"/>
      <c r="U195" s="22"/>
      <c r="V195" s="22"/>
      <c r="W195" s="22"/>
      <c r="X195" s="22"/>
      <c r="Y195" s="22"/>
      <c r="Z195" s="22"/>
      <c r="AA195" s="22"/>
      <c r="AB195" s="22"/>
      <c r="AC195" s="22"/>
      <c r="AD195" s="22"/>
      <c r="AE195" s="22"/>
    </row>
    <row r="196">
      <c r="A196" s="22" t="s">
        <v>598</v>
      </c>
      <c r="B196" s="167" t="str">
        <f>IF(ISBLANK(A196),"",VLOOKUP(A196,DOI_URL!$B$1:$C$74,2,FALSE()))</f>
        <v>https://drive.google.com/file/d/1gauBY3c2laD_XNzROdOmX9qSs8AfvPe8/view?usp=sharing</v>
      </c>
      <c r="C196" s="22" t="s">
        <v>3311</v>
      </c>
      <c r="D196" s="22" t="s">
        <v>3311</v>
      </c>
      <c r="E196" s="22" t="s">
        <v>617</v>
      </c>
      <c r="F196" s="22" t="s">
        <v>2528</v>
      </c>
      <c r="G196" s="22" t="s">
        <v>618</v>
      </c>
      <c r="H196" s="22" t="s">
        <v>619</v>
      </c>
      <c r="I196" s="22" t="s">
        <v>54</v>
      </c>
      <c r="J196" s="22" t="s">
        <v>603</v>
      </c>
      <c r="K196" s="22"/>
      <c r="L196" s="22"/>
      <c r="M196" s="22"/>
      <c r="N196" s="22"/>
      <c r="O196" s="22"/>
      <c r="P196" s="22"/>
      <c r="Q196" s="22"/>
      <c r="R196" s="22"/>
      <c r="S196" s="22"/>
      <c r="T196" s="22"/>
      <c r="U196" s="22"/>
      <c r="V196" s="22"/>
      <c r="W196" s="22"/>
      <c r="X196" s="22"/>
      <c r="Y196" s="22"/>
      <c r="Z196" s="22"/>
      <c r="AA196" s="22"/>
      <c r="AB196" s="22"/>
      <c r="AC196" s="22"/>
      <c r="AD196" s="22"/>
      <c r="AE196" s="22"/>
    </row>
    <row r="197">
      <c r="A197" s="22" t="s">
        <v>598</v>
      </c>
      <c r="B197" s="167" t="str">
        <f>IF(ISBLANK(A197),"",VLOOKUP(A197,DOI_URL!$B$1:$C$74,2,FALSE()))</f>
        <v>https://drive.google.com/file/d/1gauBY3c2laD_XNzROdOmX9qSs8AfvPe8/view?usp=sharing</v>
      </c>
      <c r="C197" s="22" t="s">
        <v>3311</v>
      </c>
      <c r="D197" s="22" t="s">
        <v>3311</v>
      </c>
      <c r="E197" s="22" t="s">
        <v>621</v>
      </c>
      <c r="F197" s="22" t="s">
        <v>2528</v>
      </c>
      <c r="G197" s="22" t="s">
        <v>2529</v>
      </c>
      <c r="H197" s="22" t="s">
        <v>619</v>
      </c>
      <c r="I197" s="22" t="s">
        <v>54</v>
      </c>
      <c r="J197" s="22" t="s">
        <v>603</v>
      </c>
      <c r="K197" s="22"/>
      <c r="L197" s="22"/>
      <c r="M197" s="22"/>
      <c r="N197" s="22"/>
      <c r="O197" s="22"/>
      <c r="P197" s="22"/>
      <c r="Q197" s="22"/>
      <c r="R197" s="22"/>
      <c r="S197" s="22"/>
      <c r="T197" s="22"/>
      <c r="U197" s="22"/>
      <c r="V197" s="22"/>
      <c r="W197" s="22"/>
      <c r="X197" s="22"/>
      <c r="Y197" s="22"/>
      <c r="Z197" s="22"/>
      <c r="AA197" s="22"/>
      <c r="AB197" s="22"/>
      <c r="AC197" s="22"/>
      <c r="AD197" s="22"/>
      <c r="AE197" s="22"/>
    </row>
    <row r="198">
      <c r="A198" s="22" t="s">
        <v>598</v>
      </c>
      <c r="B198" s="167" t="str">
        <f>IF(ISBLANK(A198),"",VLOOKUP(A198,DOI_URL!$B$1:$C$74,2,FALSE()))</f>
        <v>https://drive.google.com/file/d/1gauBY3c2laD_XNzROdOmX9qSs8AfvPe8/view?usp=sharing</v>
      </c>
      <c r="C198" s="22" t="s">
        <v>3311</v>
      </c>
      <c r="D198" s="22" t="s">
        <v>3311</v>
      </c>
      <c r="E198" s="22" t="s">
        <v>624</v>
      </c>
      <c r="F198" s="22" t="s">
        <v>2528</v>
      </c>
      <c r="G198" s="22" t="s">
        <v>625</v>
      </c>
      <c r="H198" s="22" t="s">
        <v>619</v>
      </c>
      <c r="I198" s="22" t="s">
        <v>54</v>
      </c>
      <c r="J198" s="22" t="s">
        <v>603</v>
      </c>
      <c r="K198" s="22"/>
      <c r="L198" s="22"/>
      <c r="M198" s="22"/>
      <c r="N198" s="22"/>
      <c r="O198" s="22"/>
      <c r="P198" s="22"/>
      <c r="Q198" s="22"/>
      <c r="R198" s="22"/>
      <c r="S198" s="22"/>
      <c r="T198" s="22"/>
      <c r="U198" s="22"/>
      <c r="V198" s="22"/>
      <c r="W198" s="22"/>
      <c r="X198" s="22"/>
      <c r="Y198" s="22"/>
      <c r="Z198" s="22"/>
      <c r="AA198" s="22"/>
      <c r="AB198" s="22"/>
      <c r="AC198" s="22"/>
      <c r="AD198" s="22"/>
      <c r="AE198" s="22"/>
    </row>
    <row r="199">
      <c r="A199" s="22" t="s">
        <v>598</v>
      </c>
      <c r="B199" s="167" t="str">
        <f>IF(ISBLANK(A199),"",VLOOKUP(A199,DOI_URL!$B$1:$C$74,2,FALSE()))</f>
        <v>https://drive.google.com/file/d/1gauBY3c2laD_XNzROdOmX9qSs8AfvPe8/view?usp=sharing</v>
      </c>
      <c r="C199" s="22" t="s">
        <v>3311</v>
      </c>
      <c r="D199" s="22" t="s">
        <v>3311</v>
      </c>
      <c r="E199" s="22" t="s">
        <v>627</v>
      </c>
      <c r="F199" s="22" t="s">
        <v>2528</v>
      </c>
      <c r="G199" s="22" t="s">
        <v>628</v>
      </c>
      <c r="H199" s="22" t="s">
        <v>619</v>
      </c>
      <c r="I199" s="22" t="s">
        <v>54</v>
      </c>
      <c r="J199" s="22" t="s">
        <v>603</v>
      </c>
      <c r="K199" s="22"/>
      <c r="L199" s="22"/>
      <c r="M199" s="22"/>
      <c r="N199" s="22"/>
      <c r="O199" s="22"/>
      <c r="P199" s="22"/>
      <c r="Q199" s="22"/>
      <c r="R199" s="22"/>
      <c r="S199" s="22"/>
      <c r="T199" s="22"/>
      <c r="U199" s="22"/>
      <c r="V199" s="22"/>
      <c r="W199" s="22"/>
      <c r="X199" s="22"/>
      <c r="Y199" s="22"/>
      <c r="Z199" s="22"/>
      <c r="AA199" s="22"/>
      <c r="AB199" s="22"/>
      <c r="AC199" s="22"/>
      <c r="AD199" s="22"/>
      <c r="AE199" s="22"/>
    </row>
    <row r="200">
      <c r="A200" s="22" t="s">
        <v>598</v>
      </c>
      <c r="B200" s="167" t="str">
        <f>IF(ISBLANK(A200),"",VLOOKUP(A200,DOI_URL!$B$1:$C$74,2,FALSE()))</f>
        <v>https://drive.google.com/file/d/1gauBY3c2laD_XNzROdOmX9qSs8AfvPe8/view?usp=sharing</v>
      </c>
      <c r="C200" s="22" t="s">
        <v>3311</v>
      </c>
      <c r="D200" s="22" t="s">
        <v>3311</v>
      </c>
      <c r="E200" s="22" t="s">
        <v>627</v>
      </c>
      <c r="F200" s="22" t="s">
        <v>412</v>
      </c>
      <c r="G200" s="22" t="s">
        <v>2535</v>
      </c>
      <c r="H200" s="22" t="s">
        <v>309</v>
      </c>
      <c r="I200" s="22" t="s">
        <v>39</v>
      </c>
      <c r="J200" s="22" t="s">
        <v>603</v>
      </c>
      <c r="K200" s="22"/>
      <c r="L200" s="22"/>
      <c r="M200" s="22"/>
      <c r="N200" s="22"/>
      <c r="O200" s="22"/>
      <c r="P200" s="22"/>
      <c r="Q200" s="22"/>
      <c r="R200" s="22"/>
      <c r="S200" s="22"/>
      <c r="T200" s="22"/>
      <c r="U200" s="22"/>
      <c r="V200" s="22"/>
      <c r="W200" s="22"/>
      <c r="X200" s="22"/>
      <c r="Y200" s="22"/>
      <c r="Z200" s="22"/>
      <c r="AA200" s="22"/>
      <c r="AB200" s="22"/>
      <c r="AC200" s="22"/>
      <c r="AD200" s="22"/>
      <c r="AE200" s="22"/>
    </row>
    <row r="201">
      <c r="A201" s="22" t="s">
        <v>598</v>
      </c>
      <c r="B201" s="167" t="str">
        <f>IF(ISBLANK(A201),"",VLOOKUP(A201,DOI_URL!$B$1:$C$74,2,FALSE()))</f>
        <v>https://drive.google.com/file/d/1gauBY3c2laD_XNzROdOmX9qSs8AfvPe8/view?usp=sharing</v>
      </c>
      <c r="C201" s="22" t="s">
        <v>3311</v>
      </c>
      <c r="D201" s="22" t="s">
        <v>3311</v>
      </c>
      <c r="E201" s="22" t="s">
        <v>627</v>
      </c>
      <c r="F201" s="22" t="s">
        <v>412</v>
      </c>
      <c r="G201" s="22" t="s">
        <v>2538</v>
      </c>
      <c r="H201" s="22" t="s">
        <v>309</v>
      </c>
      <c r="I201" s="22" t="s">
        <v>39</v>
      </c>
      <c r="J201" s="22" t="s">
        <v>603</v>
      </c>
      <c r="K201" s="22"/>
      <c r="L201" s="22"/>
      <c r="M201" s="22"/>
      <c r="N201" s="22"/>
      <c r="O201" s="22"/>
      <c r="P201" s="22"/>
      <c r="Q201" s="22"/>
      <c r="R201" s="22"/>
      <c r="S201" s="22"/>
      <c r="T201" s="22"/>
      <c r="U201" s="22"/>
      <c r="V201" s="22"/>
      <c r="W201" s="22"/>
      <c r="X201" s="22"/>
      <c r="Y201" s="22"/>
      <c r="Z201" s="22"/>
      <c r="AA201" s="22"/>
      <c r="AB201" s="22"/>
      <c r="AC201" s="22"/>
      <c r="AD201" s="22"/>
      <c r="AE201" s="22"/>
    </row>
    <row r="202">
      <c r="A202" s="22" t="s">
        <v>636</v>
      </c>
      <c r="B202" s="167" t="str">
        <f>IF(ISBLANK(A202),"",VLOOKUP(A202,DOI_URL!$B$1:$C$74,2,FALSE()))</f>
        <v>https://drive.google.com/file/d/1XgKvlH2BmKeD0YQIFn07Xd0xAeEr4Cqn/view?usp=sharing</v>
      </c>
      <c r="C202" s="22" t="s">
        <v>3311</v>
      </c>
      <c r="D202" s="22" t="s">
        <v>3311</v>
      </c>
      <c r="E202" s="22" t="s">
        <v>637</v>
      </c>
      <c r="F202" s="22" t="s">
        <v>33</v>
      </c>
      <c r="G202" s="22" t="s">
        <v>638</v>
      </c>
      <c r="H202" s="22" t="s">
        <v>639</v>
      </c>
      <c r="I202" s="22" t="s">
        <v>91</v>
      </c>
      <c r="J202" s="22" t="s">
        <v>640</v>
      </c>
      <c r="K202" s="27" t="s">
        <v>3689</v>
      </c>
      <c r="L202" s="22"/>
      <c r="M202" s="22"/>
      <c r="N202" s="22"/>
      <c r="O202" s="22"/>
      <c r="P202" s="22"/>
      <c r="Q202" s="22"/>
      <c r="R202" s="22"/>
      <c r="S202" s="22"/>
      <c r="T202" s="22"/>
      <c r="U202" s="22"/>
      <c r="V202" s="22"/>
      <c r="W202" s="22"/>
      <c r="X202" s="22"/>
      <c r="Y202" s="22"/>
      <c r="Z202" s="22"/>
      <c r="AA202" s="22"/>
      <c r="AB202" s="22"/>
      <c r="AC202" s="22"/>
      <c r="AD202" s="22"/>
      <c r="AE202" s="22"/>
    </row>
    <row r="203">
      <c r="A203" s="22" t="s">
        <v>636</v>
      </c>
      <c r="B203" s="167" t="str">
        <f>IF(ISBLANK(A203),"",VLOOKUP(A203,DOI_URL!$B$1:$C$74,2,FALSE()))</f>
        <v>https://drive.google.com/file/d/1XgKvlH2BmKeD0YQIFn07Xd0xAeEr4Cqn/view?usp=sharing</v>
      </c>
      <c r="C203" s="22" t="s">
        <v>3311</v>
      </c>
      <c r="D203" s="22" t="s">
        <v>3311</v>
      </c>
      <c r="E203" s="22" t="s">
        <v>641</v>
      </c>
      <c r="F203" s="22" t="s">
        <v>33</v>
      </c>
      <c r="G203" s="22" t="s">
        <v>642</v>
      </c>
      <c r="H203" s="22" t="s">
        <v>639</v>
      </c>
      <c r="I203" s="22" t="s">
        <v>91</v>
      </c>
      <c r="J203" s="22" t="s">
        <v>640</v>
      </c>
      <c r="K203" s="22"/>
      <c r="L203" s="22"/>
      <c r="M203" s="22"/>
      <c r="N203" s="22"/>
      <c r="O203" s="22"/>
      <c r="P203" s="22"/>
      <c r="Q203" s="22"/>
      <c r="R203" s="22"/>
      <c r="S203" s="22"/>
      <c r="T203" s="22"/>
      <c r="U203" s="22"/>
      <c r="V203" s="22"/>
      <c r="W203" s="22"/>
      <c r="X203" s="22"/>
      <c r="Y203" s="22"/>
      <c r="Z203" s="22"/>
      <c r="AA203" s="22"/>
      <c r="AB203" s="22"/>
      <c r="AC203" s="22"/>
      <c r="AD203" s="22"/>
      <c r="AE203" s="22"/>
    </row>
    <row r="204">
      <c r="A204" s="22" t="s">
        <v>636</v>
      </c>
      <c r="B204" s="167" t="str">
        <f>IF(ISBLANK(A204),"",VLOOKUP(A204,DOI_URL!$B$1:$C$74,2,FALSE()))</f>
        <v>https://drive.google.com/file/d/1XgKvlH2BmKeD0YQIFn07Xd0xAeEr4Cqn/view?usp=sharing</v>
      </c>
      <c r="C204" s="22" t="s">
        <v>3311</v>
      </c>
      <c r="D204" s="22" t="s">
        <v>3311</v>
      </c>
      <c r="E204" s="22" t="s">
        <v>643</v>
      </c>
      <c r="F204" s="22" t="s">
        <v>644</v>
      </c>
      <c r="G204" s="22" t="s">
        <v>645</v>
      </c>
      <c r="H204" s="22" t="s">
        <v>646</v>
      </c>
      <c r="I204" s="22" t="s">
        <v>14</v>
      </c>
      <c r="J204" s="22" t="s">
        <v>640</v>
      </c>
      <c r="K204" s="22"/>
      <c r="L204" s="22"/>
      <c r="M204" s="22"/>
      <c r="N204" s="22"/>
      <c r="O204" s="22"/>
      <c r="P204" s="22"/>
      <c r="Q204" s="22"/>
      <c r="R204" s="22"/>
      <c r="S204" s="22"/>
      <c r="T204" s="22"/>
      <c r="U204" s="22"/>
      <c r="V204" s="22"/>
      <c r="W204" s="22"/>
      <c r="X204" s="22"/>
      <c r="Y204" s="22"/>
      <c r="Z204" s="22"/>
      <c r="AA204" s="22"/>
      <c r="AB204" s="22"/>
      <c r="AC204" s="22"/>
      <c r="AD204" s="22"/>
      <c r="AE204" s="22"/>
    </row>
    <row r="205">
      <c r="A205" s="22" t="s">
        <v>636</v>
      </c>
      <c r="B205" s="167" t="str">
        <f>IF(ISBLANK(A205),"",VLOOKUP(A205,DOI_URL!$B$1:$C$74,2,FALSE()))</f>
        <v>https://drive.google.com/file/d/1XgKvlH2BmKeD0YQIFn07Xd0xAeEr4Cqn/view?usp=sharing</v>
      </c>
      <c r="C205" s="22" t="s">
        <v>3311</v>
      </c>
      <c r="D205" s="22" t="s">
        <v>3311</v>
      </c>
      <c r="E205" s="22" t="s">
        <v>643</v>
      </c>
      <c r="F205" s="22" t="s">
        <v>647</v>
      </c>
      <c r="G205" s="22" t="s">
        <v>648</v>
      </c>
      <c r="H205" s="22" t="s">
        <v>2543</v>
      </c>
      <c r="I205" s="22" t="s">
        <v>14</v>
      </c>
      <c r="J205" s="22" t="s">
        <v>640</v>
      </c>
      <c r="K205" s="22"/>
      <c r="L205" s="22"/>
      <c r="M205" s="22"/>
      <c r="N205" s="22"/>
      <c r="O205" s="22"/>
      <c r="P205" s="22"/>
      <c r="Q205" s="22"/>
      <c r="R205" s="22"/>
      <c r="S205" s="22"/>
      <c r="T205" s="22"/>
      <c r="U205" s="22"/>
      <c r="V205" s="22"/>
      <c r="W205" s="22"/>
      <c r="X205" s="22"/>
      <c r="Y205" s="22"/>
      <c r="Z205" s="22"/>
      <c r="AA205" s="22"/>
      <c r="AB205" s="22"/>
      <c r="AC205" s="22"/>
      <c r="AD205" s="22"/>
      <c r="AE205" s="22"/>
    </row>
    <row r="206">
      <c r="A206" s="22" t="s">
        <v>636</v>
      </c>
      <c r="B206" s="167" t="str">
        <f>IF(ISBLANK(A206),"",VLOOKUP(A206,DOI_URL!$B$1:$C$74,2,FALSE()))</f>
        <v>https://drive.google.com/file/d/1XgKvlH2BmKeD0YQIFn07Xd0xAeEr4Cqn/view?usp=sharing</v>
      </c>
      <c r="C206" s="22" t="s">
        <v>3311</v>
      </c>
      <c r="D206" s="22" t="s">
        <v>3311</v>
      </c>
      <c r="E206" s="22" t="s">
        <v>643</v>
      </c>
      <c r="F206" s="22" t="s">
        <v>650</v>
      </c>
      <c r="G206" s="22" t="s">
        <v>651</v>
      </c>
      <c r="H206" s="22" t="s">
        <v>33</v>
      </c>
      <c r="I206" s="22" t="s">
        <v>14</v>
      </c>
      <c r="J206" s="22" t="s">
        <v>640</v>
      </c>
      <c r="K206" s="22"/>
      <c r="L206" s="22"/>
      <c r="M206" s="22"/>
      <c r="N206" s="22"/>
      <c r="O206" s="22"/>
      <c r="P206" s="22"/>
      <c r="Q206" s="22"/>
      <c r="R206" s="22"/>
      <c r="S206" s="22"/>
      <c r="T206" s="22"/>
      <c r="U206" s="22"/>
      <c r="V206" s="22"/>
      <c r="W206" s="22"/>
      <c r="X206" s="22"/>
      <c r="Y206" s="22"/>
      <c r="Z206" s="22"/>
      <c r="AA206" s="22"/>
      <c r="AB206" s="22"/>
      <c r="AC206" s="22"/>
      <c r="AD206" s="22"/>
      <c r="AE206" s="22"/>
    </row>
    <row r="207">
      <c r="A207" s="22" t="s">
        <v>636</v>
      </c>
      <c r="B207" s="167" t="str">
        <f>IF(ISBLANK(A207),"",VLOOKUP(A207,DOI_URL!$B$1:$C$74,2,FALSE()))</f>
        <v>https://drive.google.com/file/d/1XgKvlH2BmKeD0YQIFn07Xd0xAeEr4Cqn/view?usp=sharing</v>
      </c>
      <c r="C207" s="22" t="s">
        <v>3311</v>
      </c>
      <c r="D207" s="22" t="s">
        <v>3311</v>
      </c>
      <c r="E207" s="22" t="s">
        <v>641</v>
      </c>
      <c r="F207" s="22" t="s">
        <v>652</v>
      </c>
      <c r="G207" s="22" t="s">
        <v>653</v>
      </c>
      <c r="H207" s="22" t="s">
        <v>654</v>
      </c>
      <c r="I207" s="22" t="s">
        <v>39</v>
      </c>
      <c r="J207" s="22" t="s">
        <v>640</v>
      </c>
      <c r="K207" s="22"/>
      <c r="L207" s="22"/>
      <c r="M207" s="22"/>
      <c r="N207" s="22"/>
      <c r="O207" s="22"/>
      <c r="P207" s="22"/>
      <c r="Q207" s="22"/>
      <c r="R207" s="22"/>
      <c r="S207" s="22"/>
      <c r="T207" s="22"/>
      <c r="U207" s="22"/>
      <c r="V207" s="22"/>
      <c r="W207" s="22"/>
      <c r="X207" s="22"/>
      <c r="Y207" s="22"/>
      <c r="Z207" s="22"/>
      <c r="AA207" s="22"/>
      <c r="AB207" s="22"/>
      <c r="AC207" s="22"/>
      <c r="AD207" s="22"/>
      <c r="AE207" s="22"/>
    </row>
    <row r="208">
      <c r="A208" s="22" t="s">
        <v>636</v>
      </c>
      <c r="B208" s="167" t="str">
        <f>IF(ISBLANK(A208),"",VLOOKUP(A208,DOI_URL!$B$1:$C$74,2,FALSE()))</f>
        <v>https://drive.google.com/file/d/1XgKvlH2BmKeD0YQIFn07Xd0xAeEr4Cqn/view?usp=sharing</v>
      </c>
      <c r="C208" s="22" t="s">
        <v>3311</v>
      </c>
      <c r="D208" s="22" t="s">
        <v>3311</v>
      </c>
      <c r="E208" s="22" t="s">
        <v>641</v>
      </c>
      <c r="F208" s="22" t="s">
        <v>652</v>
      </c>
      <c r="G208" s="22" t="s">
        <v>655</v>
      </c>
      <c r="H208" s="22" t="s">
        <v>654</v>
      </c>
      <c r="I208" s="22" t="s">
        <v>39</v>
      </c>
      <c r="J208" s="22" t="s">
        <v>640</v>
      </c>
      <c r="K208" s="22"/>
      <c r="L208" s="22"/>
      <c r="M208" s="22"/>
      <c r="N208" s="22"/>
      <c r="O208" s="22"/>
      <c r="P208" s="22"/>
      <c r="Q208" s="22"/>
      <c r="R208" s="22"/>
      <c r="S208" s="22"/>
      <c r="T208" s="22"/>
      <c r="U208" s="22"/>
      <c r="V208" s="22"/>
      <c r="W208" s="22"/>
      <c r="X208" s="22"/>
      <c r="Y208" s="22"/>
      <c r="Z208" s="22"/>
      <c r="AA208" s="22"/>
      <c r="AB208" s="22"/>
      <c r="AC208" s="22"/>
      <c r="AD208" s="22"/>
      <c r="AE208" s="22"/>
    </row>
    <row r="209">
      <c r="A209" s="22" t="s">
        <v>636</v>
      </c>
      <c r="B209" s="167" t="str">
        <f>IF(ISBLANK(A209),"",VLOOKUP(A209,DOI_URL!$B$1:$C$74,2,FALSE()))</f>
        <v>https://drive.google.com/file/d/1XgKvlH2BmKeD0YQIFn07Xd0xAeEr4Cqn/view?usp=sharing</v>
      </c>
      <c r="C209" s="22" t="s">
        <v>3311</v>
      </c>
      <c r="D209" s="22" t="s">
        <v>3311</v>
      </c>
      <c r="E209" s="22" t="s">
        <v>641</v>
      </c>
      <c r="F209" s="22" t="s">
        <v>656</v>
      </c>
      <c r="G209" s="22" t="s">
        <v>657</v>
      </c>
      <c r="H209" s="22" t="s">
        <v>654</v>
      </c>
      <c r="I209" s="22" t="s">
        <v>54</v>
      </c>
      <c r="J209" s="22" t="s">
        <v>640</v>
      </c>
      <c r="K209" s="22"/>
      <c r="L209" s="22"/>
      <c r="M209" s="22"/>
      <c r="N209" s="22"/>
      <c r="O209" s="22"/>
      <c r="P209" s="22"/>
      <c r="Q209" s="22"/>
      <c r="R209" s="22"/>
      <c r="S209" s="22"/>
      <c r="T209" s="22"/>
      <c r="U209" s="22"/>
      <c r="V209" s="22"/>
      <c r="W209" s="22"/>
      <c r="X209" s="22"/>
      <c r="Y209" s="22"/>
      <c r="Z209" s="22"/>
      <c r="AA209" s="22"/>
      <c r="AB209" s="22"/>
      <c r="AC209" s="22"/>
      <c r="AD209" s="22"/>
      <c r="AE209" s="22"/>
    </row>
    <row r="210">
      <c r="A210" s="22" t="s">
        <v>636</v>
      </c>
      <c r="B210" s="167" t="str">
        <f>IF(ISBLANK(A210),"",VLOOKUP(A210,DOI_URL!$B$1:$C$74,2,FALSE()))</f>
        <v>https://drive.google.com/file/d/1XgKvlH2BmKeD0YQIFn07Xd0xAeEr4Cqn/view?usp=sharing</v>
      </c>
      <c r="C210" s="22" t="s">
        <v>3311</v>
      </c>
      <c r="D210" s="22" t="s">
        <v>3311</v>
      </c>
      <c r="E210" s="22" t="s">
        <v>641</v>
      </c>
      <c r="F210" s="22" t="s">
        <v>205</v>
      </c>
      <c r="G210" s="22" t="s">
        <v>2544</v>
      </c>
      <c r="H210" s="22" t="s">
        <v>33</v>
      </c>
      <c r="I210" s="22" t="s">
        <v>54</v>
      </c>
      <c r="J210" s="22" t="s">
        <v>640</v>
      </c>
      <c r="K210" s="22"/>
      <c r="L210" s="22"/>
      <c r="M210" s="22"/>
      <c r="N210" s="22"/>
      <c r="O210" s="22"/>
      <c r="P210" s="22"/>
      <c r="Q210" s="22"/>
      <c r="R210" s="22"/>
      <c r="S210" s="22"/>
      <c r="T210" s="22"/>
      <c r="U210" s="22"/>
      <c r="V210" s="22"/>
      <c r="W210" s="22"/>
      <c r="X210" s="22"/>
      <c r="Y210" s="22"/>
      <c r="Z210" s="22"/>
      <c r="AA210" s="22"/>
      <c r="AB210" s="22"/>
      <c r="AC210" s="22"/>
      <c r="AD210" s="22"/>
      <c r="AE210" s="22"/>
    </row>
    <row r="211">
      <c r="A211" s="22" t="s">
        <v>636</v>
      </c>
      <c r="B211" s="167" t="str">
        <f>IF(ISBLANK(A211),"",VLOOKUP(A211,DOI_URL!$B$1:$C$74,2,FALSE()))</f>
        <v>https://drive.google.com/file/d/1XgKvlH2BmKeD0YQIFn07Xd0xAeEr4Cqn/view?usp=sharing</v>
      </c>
      <c r="C211" s="22" t="s">
        <v>3311</v>
      </c>
      <c r="D211" s="22" t="s">
        <v>3311</v>
      </c>
      <c r="E211" s="22" t="s">
        <v>658</v>
      </c>
      <c r="F211" s="22" t="s">
        <v>659</v>
      </c>
      <c r="G211" s="22" t="s">
        <v>660</v>
      </c>
      <c r="H211" s="22" t="s">
        <v>661</v>
      </c>
      <c r="I211" s="22" t="s">
        <v>14</v>
      </c>
      <c r="J211" s="22" t="s">
        <v>640</v>
      </c>
      <c r="K211" s="22"/>
      <c r="L211" s="22"/>
      <c r="M211" s="22"/>
      <c r="N211" s="22"/>
      <c r="O211" s="22"/>
      <c r="P211" s="22"/>
      <c r="Q211" s="22"/>
      <c r="R211" s="22"/>
      <c r="S211" s="22"/>
      <c r="T211" s="22"/>
      <c r="U211" s="22"/>
      <c r="V211" s="22"/>
      <c r="W211" s="22"/>
      <c r="X211" s="22"/>
      <c r="Y211" s="22"/>
      <c r="Z211" s="22"/>
      <c r="AA211" s="22"/>
      <c r="AB211" s="22"/>
      <c r="AC211" s="22"/>
      <c r="AD211" s="22"/>
      <c r="AE211" s="22"/>
    </row>
    <row r="212">
      <c r="A212" s="22" t="s">
        <v>636</v>
      </c>
      <c r="B212" s="167" t="str">
        <f>IF(ISBLANK(A212),"",VLOOKUP(A212,DOI_URL!$B$1:$C$74,2,FALSE()))</f>
        <v>https://drive.google.com/file/d/1XgKvlH2BmKeD0YQIFn07Xd0xAeEr4Cqn/view?usp=sharing</v>
      </c>
      <c r="C212" s="22" t="s">
        <v>3311</v>
      </c>
      <c r="D212" s="22" t="s">
        <v>3311</v>
      </c>
      <c r="E212" s="22" t="s">
        <v>658</v>
      </c>
      <c r="F212" s="22" t="s">
        <v>662</v>
      </c>
      <c r="G212" s="22" t="s">
        <v>663</v>
      </c>
      <c r="H212" s="22" t="s">
        <v>664</v>
      </c>
      <c r="I212" s="22" t="s">
        <v>39</v>
      </c>
      <c r="J212" s="22" t="s">
        <v>640</v>
      </c>
      <c r="K212" s="22"/>
      <c r="L212" s="22"/>
      <c r="M212" s="22"/>
      <c r="N212" s="22"/>
      <c r="O212" s="22"/>
      <c r="P212" s="22"/>
      <c r="Q212" s="22"/>
      <c r="R212" s="22"/>
      <c r="S212" s="22"/>
      <c r="T212" s="22"/>
      <c r="U212" s="22"/>
      <c r="V212" s="22"/>
      <c r="W212" s="22"/>
      <c r="X212" s="22"/>
      <c r="Y212" s="22"/>
      <c r="Z212" s="22"/>
      <c r="AA212" s="22"/>
      <c r="AB212" s="22"/>
      <c r="AC212" s="22"/>
      <c r="AD212" s="22"/>
      <c r="AE212" s="22"/>
    </row>
    <row r="213">
      <c r="A213" s="22" t="s">
        <v>665</v>
      </c>
      <c r="B213" s="167" t="str">
        <f>IF(ISBLANK(A213),"",VLOOKUP(A213,DOI_URL!$B$1:$C$74,2,FALSE()))</f>
        <v>https://drive.google.com/file/d/1QhoIrklxWhgAa8I3rYqClVgyMfAupPTD/view?usp=sharing</v>
      </c>
      <c r="C213" s="22" t="s">
        <v>3311</v>
      </c>
      <c r="D213" s="22" t="s">
        <v>3311</v>
      </c>
      <c r="E213" s="22" t="s">
        <v>666</v>
      </c>
      <c r="F213" s="22" t="s">
        <v>33</v>
      </c>
      <c r="G213" s="22" t="s">
        <v>667</v>
      </c>
      <c r="H213" s="22" t="s">
        <v>668</v>
      </c>
      <c r="I213" s="22" t="s">
        <v>44</v>
      </c>
      <c r="J213" s="22" t="s">
        <v>669</v>
      </c>
      <c r="K213" s="22"/>
      <c r="L213" s="22"/>
      <c r="M213" s="22"/>
      <c r="N213" s="22"/>
      <c r="O213" s="22"/>
      <c r="P213" s="22"/>
      <c r="Q213" s="22"/>
      <c r="R213" s="22"/>
      <c r="S213" s="22"/>
      <c r="T213" s="22"/>
      <c r="U213" s="22"/>
      <c r="V213" s="22"/>
      <c r="W213" s="22"/>
      <c r="X213" s="22"/>
      <c r="Y213" s="22"/>
      <c r="Z213" s="22"/>
      <c r="AA213" s="22"/>
      <c r="AB213" s="22"/>
      <c r="AC213" s="22"/>
      <c r="AD213" s="22"/>
      <c r="AE213" s="22"/>
    </row>
    <row r="214">
      <c r="A214" s="22" t="s">
        <v>665</v>
      </c>
      <c r="B214" s="167" t="str">
        <f>IF(ISBLANK(A214),"",VLOOKUP(A214,DOI_URL!$B$1:$C$74,2,FALSE()))</f>
        <v>https://drive.google.com/file/d/1QhoIrklxWhgAa8I3rYqClVgyMfAupPTD/view?usp=sharing</v>
      </c>
      <c r="C214" s="22" t="s">
        <v>3311</v>
      </c>
      <c r="D214" s="22" t="s">
        <v>3311</v>
      </c>
      <c r="E214" s="22" t="s">
        <v>674</v>
      </c>
      <c r="F214" s="22" t="s">
        <v>675</v>
      </c>
      <c r="G214" s="22" t="s">
        <v>2550</v>
      </c>
      <c r="H214" s="22" t="s">
        <v>309</v>
      </c>
      <c r="I214" s="22" t="s">
        <v>39</v>
      </c>
      <c r="J214" s="22" t="s">
        <v>669</v>
      </c>
      <c r="K214" s="22"/>
      <c r="L214" s="22"/>
      <c r="M214" s="22"/>
      <c r="N214" s="22"/>
      <c r="O214" s="22"/>
      <c r="P214" s="22"/>
      <c r="Q214" s="22"/>
      <c r="R214" s="22"/>
      <c r="S214" s="22"/>
      <c r="T214" s="22"/>
      <c r="U214" s="22"/>
      <c r="V214" s="22"/>
      <c r="W214" s="22"/>
      <c r="X214" s="22"/>
      <c r="Y214" s="22"/>
      <c r="Z214" s="22"/>
      <c r="AA214" s="22"/>
      <c r="AB214" s="22"/>
      <c r="AC214" s="22"/>
      <c r="AD214" s="22"/>
      <c r="AE214" s="22"/>
    </row>
    <row r="215">
      <c r="A215" s="22" t="s">
        <v>665</v>
      </c>
      <c r="B215" s="167" t="str">
        <f>IF(ISBLANK(A215),"",VLOOKUP(A215,DOI_URL!$B$1:$C$74,2,FALSE()))</f>
        <v>https://drive.google.com/file/d/1QhoIrklxWhgAa8I3rYqClVgyMfAupPTD/view?usp=sharing</v>
      </c>
      <c r="C215" s="22" t="s">
        <v>3311</v>
      </c>
      <c r="D215" s="22" t="s">
        <v>3311</v>
      </c>
      <c r="E215" s="22" t="s">
        <v>674</v>
      </c>
      <c r="F215" s="22" t="s">
        <v>33</v>
      </c>
      <c r="G215" s="22" t="s">
        <v>2554</v>
      </c>
      <c r="H215" s="22" t="s">
        <v>2552</v>
      </c>
      <c r="I215" s="22" t="s">
        <v>91</v>
      </c>
      <c r="J215" s="22" t="s">
        <v>669</v>
      </c>
      <c r="K215" s="22"/>
      <c r="L215" s="22"/>
      <c r="M215" s="22"/>
      <c r="N215" s="22"/>
      <c r="O215" s="22"/>
      <c r="P215" s="22"/>
      <c r="Q215" s="22"/>
      <c r="R215" s="22"/>
      <c r="S215" s="22"/>
      <c r="T215" s="22"/>
      <c r="U215" s="22"/>
      <c r="V215" s="22"/>
      <c r="W215" s="22"/>
      <c r="X215" s="22"/>
      <c r="Y215" s="22"/>
      <c r="Z215" s="22"/>
      <c r="AA215" s="22"/>
      <c r="AB215" s="22"/>
      <c r="AC215" s="22"/>
      <c r="AD215" s="22"/>
      <c r="AE215" s="22"/>
    </row>
    <row r="216">
      <c r="A216" s="22" t="s">
        <v>665</v>
      </c>
      <c r="B216" s="167" t="str">
        <f>IF(ISBLANK(A216),"",VLOOKUP(A216,DOI_URL!$B$1:$C$74,2,FALSE()))</f>
        <v>https://drive.google.com/file/d/1QhoIrklxWhgAa8I3rYqClVgyMfAupPTD/view?usp=sharing</v>
      </c>
      <c r="C216" s="22" t="s">
        <v>3311</v>
      </c>
      <c r="D216" s="22" t="s">
        <v>3311</v>
      </c>
      <c r="E216" s="22" t="s">
        <v>666</v>
      </c>
      <c r="F216" s="35" t="s">
        <v>3690</v>
      </c>
      <c r="G216" s="22" t="s">
        <v>684</v>
      </c>
      <c r="H216" s="22" t="s">
        <v>685</v>
      </c>
      <c r="I216" s="22" t="s">
        <v>54</v>
      </c>
      <c r="J216" s="22" t="s">
        <v>669</v>
      </c>
      <c r="K216" s="22"/>
      <c r="L216" s="22"/>
      <c r="M216" s="22"/>
      <c r="N216" s="22"/>
      <c r="O216" s="22"/>
      <c r="P216" s="22"/>
      <c r="Q216" s="22"/>
      <c r="R216" s="22"/>
      <c r="S216" s="22"/>
      <c r="T216" s="22"/>
      <c r="U216" s="22"/>
      <c r="V216" s="22"/>
      <c r="W216" s="22"/>
      <c r="X216" s="22"/>
      <c r="Y216" s="22"/>
      <c r="Z216" s="22"/>
      <c r="AA216" s="22"/>
      <c r="AB216" s="22"/>
      <c r="AC216" s="22"/>
      <c r="AD216" s="22"/>
      <c r="AE216" s="22"/>
    </row>
    <row r="217">
      <c r="A217" s="22" t="s">
        <v>665</v>
      </c>
      <c r="B217" s="167" t="str">
        <f>IF(ISBLANK(A217),"",VLOOKUP(A217,DOI_URL!$B$1:$C$74,2,FALSE()))</f>
        <v>https://drive.google.com/file/d/1QhoIrklxWhgAa8I3rYqClVgyMfAupPTD/view?usp=sharing</v>
      </c>
      <c r="C217" s="22" t="s">
        <v>3311</v>
      </c>
      <c r="D217" s="22" t="s">
        <v>3311</v>
      </c>
      <c r="E217" s="22" t="s">
        <v>666</v>
      </c>
      <c r="F217" s="35" t="s">
        <v>3690</v>
      </c>
      <c r="G217" s="35" t="s">
        <v>930</v>
      </c>
      <c r="H217" s="185" t="s">
        <v>683</v>
      </c>
      <c r="I217" s="22" t="s">
        <v>54</v>
      </c>
      <c r="J217" s="22" t="s">
        <v>669</v>
      </c>
      <c r="K217" s="22"/>
      <c r="L217" s="22"/>
      <c r="M217" s="22"/>
      <c r="N217" s="22"/>
      <c r="O217" s="22"/>
      <c r="P217" s="22"/>
      <c r="Q217" s="22"/>
      <c r="R217" s="22"/>
      <c r="S217" s="22"/>
      <c r="T217" s="22"/>
      <c r="U217" s="22"/>
      <c r="V217" s="22"/>
      <c r="W217" s="22"/>
      <c r="X217" s="22"/>
      <c r="Y217" s="22"/>
      <c r="Z217" s="22"/>
      <c r="AA217" s="22"/>
      <c r="AB217" s="22"/>
      <c r="AC217" s="22"/>
      <c r="AD217" s="22"/>
      <c r="AE217" s="22"/>
    </row>
    <row r="218">
      <c r="A218" s="22" t="s">
        <v>686</v>
      </c>
      <c r="B218" s="167" t="str">
        <f>IF(ISBLANK(A218),"",VLOOKUP(A218,DOI_URL!$B$1:$C$74,2,FALSE()))</f>
        <v>https://drive.google.com/file/d/1XN3ldSHs7plNEs-0B16G2mcO7veqGaQN/view?usp=sharing</v>
      </c>
      <c r="C218" s="22" t="s">
        <v>3311</v>
      </c>
      <c r="D218" s="22" t="s">
        <v>3311</v>
      </c>
      <c r="E218" s="22" t="s">
        <v>2563</v>
      </c>
      <c r="F218" s="35" t="s">
        <v>1379</v>
      </c>
      <c r="G218" s="22" t="s">
        <v>2564</v>
      </c>
      <c r="H218" s="22" t="s">
        <v>2560</v>
      </c>
      <c r="I218" s="22" t="s">
        <v>91</v>
      </c>
      <c r="J218" s="22" t="s">
        <v>691</v>
      </c>
      <c r="K218" s="22"/>
      <c r="L218" s="22"/>
      <c r="M218" s="22"/>
      <c r="N218" s="22"/>
      <c r="O218" s="22"/>
      <c r="P218" s="22"/>
      <c r="Q218" s="22"/>
      <c r="R218" s="22"/>
      <c r="S218" s="22"/>
      <c r="T218" s="22"/>
      <c r="U218" s="22"/>
      <c r="V218" s="22"/>
      <c r="W218" s="22"/>
      <c r="X218" s="22"/>
      <c r="Y218" s="22"/>
      <c r="Z218" s="22"/>
      <c r="AA218" s="22"/>
      <c r="AB218" s="22"/>
      <c r="AC218" s="22"/>
      <c r="AD218" s="22"/>
      <c r="AE218" s="22"/>
    </row>
    <row r="219">
      <c r="A219" s="22" t="s">
        <v>686</v>
      </c>
      <c r="B219" s="167" t="str">
        <f>IF(ISBLANK(A219),"",VLOOKUP(A219,DOI_URL!$B$1:$C$74,2,FALSE()))</f>
        <v>https://drive.google.com/file/d/1XN3ldSHs7plNEs-0B16G2mcO7veqGaQN/view?usp=sharing</v>
      </c>
      <c r="C219" s="22" t="s">
        <v>3311</v>
      </c>
      <c r="D219" s="22" t="s">
        <v>3311</v>
      </c>
      <c r="E219" s="22" t="s">
        <v>705</v>
      </c>
      <c r="F219" s="22" t="s">
        <v>33</v>
      </c>
      <c r="G219" s="22" t="s">
        <v>706</v>
      </c>
      <c r="H219" s="22" t="s">
        <v>2560</v>
      </c>
      <c r="I219" s="22" t="s">
        <v>44</v>
      </c>
      <c r="J219" s="22" t="s">
        <v>691</v>
      </c>
      <c r="K219" s="22"/>
      <c r="L219" s="22"/>
      <c r="M219" s="22"/>
      <c r="N219" s="22"/>
      <c r="O219" s="22"/>
      <c r="P219" s="22"/>
      <c r="Q219" s="22"/>
      <c r="R219" s="22"/>
      <c r="S219" s="22"/>
      <c r="T219" s="22"/>
      <c r="U219" s="22"/>
      <c r="V219" s="22"/>
      <c r="W219" s="22"/>
      <c r="X219" s="22"/>
      <c r="Y219" s="22"/>
      <c r="Z219" s="22"/>
      <c r="AA219" s="22"/>
      <c r="AB219" s="22"/>
      <c r="AC219" s="22"/>
      <c r="AD219" s="22"/>
      <c r="AE219" s="22"/>
    </row>
    <row r="220">
      <c r="A220" s="22" t="s">
        <v>686</v>
      </c>
      <c r="B220" s="167" t="str">
        <f>IF(ISBLANK(A220),"",VLOOKUP(A220,DOI_URL!$B$1:$C$74,2,FALSE()))</f>
        <v>https://drive.google.com/file/d/1XN3ldSHs7plNEs-0B16G2mcO7veqGaQN/view?usp=sharing</v>
      </c>
      <c r="C220" s="22" t="s">
        <v>3311</v>
      </c>
      <c r="D220" s="22" t="s">
        <v>3311</v>
      </c>
      <c r="E220" s="22" t="s">
        <v>708</v>
      </c>
      <c r="F220" s="22" t="s">
        <v>709</v>
      </c>
      <c r="G220" s="27" t="s">
        <v>710</v>
      </c>
      <c r="H220" s="22"/>
      <c r="I220" s="22" t="s">
        <v>39</v>
      </c>
      <c r="J220" s="22" t="s">
        <v>691</v>
      </c>
      <c r="K220" s="22"/>
      <c r="L220" s="22"/>
      <c r="M220" s="22"/>
      <c r="N220" s="22"/>
      <c r="O220" s="22"/>
      <c r="P220" s="22"/>
      <c r="Q220" s="22"/>
      <c r="R220" s="22"/>
      <c r="S220" s="22"/>
      <c r="T220" s="22"/>
      <c r="U220" s="22"/>
      <c r="V220" s="22"/>
      <c r="W220" s="22"/>
      <c r="X220" s="22"/>
      <c r="Y220" s="22"/>
      <c r="Z220" s="22"/>
      <c r="AA220" s="22"/>
      <c r="AB220" s="22"/>
      <c r="AC220" s="22"/>
      <c r="AD220" s="22"/>
      <c r="AE220" s="22"/>
    </row>
    <row r="221">
      <c r="A221" s="22" t="s">
        <v>686</v>
      </c>
      <c r="B221" s="167" t="str">
        <f>IF(ISBLANK(A221),"",VLOOKUP(A221,DOI_URL!$B$1:$C$74,2,FALSE()))</f>
        <v>https://drive.google.com/file/d/1XN3ldSHs7plNEs-0B16G2mcO7veqGaQN/view?usp=sharing</v>
      </c>
      <c r="C221" s="22" t="s">
        <v>3311</v>
      </c>
      <c r="D221" s="22" t="s">
        <v>3311</v>
      </c>
      <c r="E221" s="22" t="s">
        <v>711</v>
      </c>
      <c r="F221" s="22" t="s">
        <v>709</v>
      </c>
      <c r="G221" s="22" t="s">
        <v>712</v>
      </c>
      <c r="H221" s="22" t="s">
        <v>713</v>
      </c>
      <c r="I221" s="22" t="s">
        <v>39</v>
      </c>
      <c r="J221" s="22" t="s">
        <v>691</v>
      </c>
      <c r="K221" s="22"/>
      <c r="L221" s="22"/>
      <c r="M221" s="22"/>
      <c r="N221" s="22"/>
      <c r="O221" s="22"/>
      <c r="P221" s="22"/>
      <c r="Q221" s="22"/>
      <c r="R221" s="22"/>
      <c r="S221" s="22"/>
      <c r="T221" s="22"/>
      <c r="U221" s="22"/>
      <c r="V221" s="22"/>
      <c r="W221" s="22"/>
      <c r="X221" s="22"/>
      <c r="Y221" s="22"/>
      <c r="Z221" s="22"/>
      <c r="AA221" s="22"/>
      <c r="AB221" s="22"/>
      <c r="AC221" s="22"/>
      <c r="AD221" s="22"/>
      <c r="AE221" s="22"/>
    </row>
    <row r="222">
      <c r="A222" s="22" t="s">
        <v>686</v>
      </c>
      <c r="B222" s="167" t="str">
        <f>IF(ISBLANK(A222),"",VLOOKUP(A222,DOI_URL!$B$1:$C$74,2,FALSE()))</f>
        <v>https://drive.google.com/file/d/1XN3ldSHs7plNEs-0B16G2mcO7veqGaQN/view?usp=sharing</v>
      </c>
      <c r="C222" s="22" t="s">
        <v>3311</v>
      </c>
      <c r="D222" s="22" t="s">
        <v>3311</v>
      </c>
      <c r="E222" s="22" t="s">
        <v>2567</v>
      </c>
      <c r="F222" s="22" t="s">
        <v>412</v>
      </c>
      <c r="G222" s="22" t="s">
        <v>715</v>
      </c>
      <c r="H222" s="22" t="s">
        <v>2568</v>
      </c>
      <c r="I222" s="22" t="s">
        <v>54</v>
      </c>
      <c r="J222" s="22" t="s">
        <v>691</v>
      </c>
      <c r="K222" s="22"/>
      <c r="L222" s="22"/>
      <c r="M222" s="22"/>
      <c r="N222" s="22"/>
      <c r="O222" s="22"/>
      <c r="P222" s="22"/>
      <c r="Q222" s="22"/>
      <c r="R222" s="22"/>
      <c r="S222" s="22"/>
      <c r="T222" s="22"/>
      <c r="U222" s="22"/>
      <c r="V222" s="22"/>
      <c r="W222" s="22"/>
      <c r="X222" s="22"/>
      <c r="Y222" s="22"/>
      <c r="Z222" s="22"/>
      <c r="AA222" s="22"/>
      <c r="AB222" s="22"/>
      <c r="AC222" s="22"/>
      <c r="AD222" s="22"/>
      <c r="AE222" s="22"/>
    </row>
    <row r="223">
      <c r="A223" s="22" t="s">
        <v>686</v>
      </c>
      <c r="B223" s="167" t="str">
        <f>IF(ISBLANK(A223),"",VLOOKUP(A223,DOI_URL!$B$1:$C$74,2,FALSE()))</f>
        <v>https://drive.google.com/file/d/1XN3ldSHs7plNEs-0B16G2mcO7veqGaQN/view?usp=sharing</v>
      </c>
      <c r="C223" s="22" t="s">
        <v>3311</v>
      </c>
      <c r="D223" s="22" t="s">
        <v>3311</v>
      </c>
      <c r="E223" s="22" t="s">
        <v>2567</v>
      </c>
      <c r="F223" s="22" t="s">
        <v>412</v>
      </c>
      <c r="G223" s="22" t="s">
        <v>2569</v>
      </c>
      <c r="H223" s="22" t="s">
        <v>2570</v>
      </c>
      <c r="I223" s="22" t="s">
        <v>54</v>
      </c>
      <c r="J223" s="22" t="s">
        <v>691</v>
      </c>
      <c r="K223" s="22"/>
      <c r="L223" s="22"/>
      <c r="M223" s="22"/>
      <c r="N223" s="22"/>
      <c r="O223" s="22"/>
      <c r="P223" s="22"/>
      <c r="Q223" s="22"/>
      <c r="R223" s="22"/>
      <c r="S223" s="22"/>
      <c r="T223" s="22"/>
      <c r="U223" s="22"/>
      <c r="V223" s="22"/>
      <c r="W223" s="22"/>
      <c r="X223" s="22"/>
      <c r="Y223" s="22"/>
      <c r="Z223" s="22"/>
      <c r="AA223" s="22"/>
      <c r="AB223" s="22"/>
      <c r="AC223" s="22"/>
      <c r="AD223" s="22"/>
      <c r="AE223" s="22"/>
    </row>
    <row r="224">
      <c r="A224" s="22"/>
      <c r="B224" s="22" t="str">
        <f>IF(ISBLANK(A224),"",VLOOKUP(A224,DOI_URL!$B$1:$C$74,2,FALSE()))</f>
        <v/>
      </c>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c r="AA224" s="22"/>
      <c r="AB224" s="22"/>
      <c r="AC224" s="22"/>
      <c r="AD224" s="22"/>
      <c r="AE224" s="22"/>
    </row>
    <row r="225">
      <c r="A225" s="22"/>
      <c r="B225" s="22" t="str">
        <f>IF(ISBLANK(A225),"",VLOOKUP(A225,DOI_URL!$B$1:$C$74,2,FALSE()))</f>
        <v/>
      </c>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row>
    <row r="226">
      <c r="A226" s="22"/>
      <c r="B226" s="22" t="str">
        <f>IF(ISBLANK(A226),"",VLOOKUP(A226,DOI_URL!$B$1:$C$74,2,FALSE()))</f>
        <v/>
      </c>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c r="AA226" s="22"/>
      <c r="AB226" s="22"/>
      <c r="AC226" s="22"/>
      <c r="AD226" s="22"/>
      <c r="AE226" s="22"/>
    </row>
    <row r="227">
      <c r="A227" s="22"/>
      <c r="B227" s="22" t="str">
        <f>IF(ISBLANK(A227),"",VLOOKUP(A227,DOI_URL!$B$1:$C$74,2,FALSE()))</f>
        <v/>
      </c>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c r="AA227" s="22"/>
      <c r="AB227" s="22"/>
      <c r="AC227" s="22"/>
      <c r="AD227" s="22"/>
      <c r="AE227" s="22"/>
    </row>
    <row r="228">
      <c r="A228" s="22"/>
      <c r="B228" s="22" t="str">
        <f>IF(ISBLANK(A228),"",VLOOKUP(A228,DOI_URL!$B$1:$C$74,2,FALSE()))</f>
        <v/>
      </c>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c r="AA228" s="22"/>
      <c r="AB228" s="22"/>
      <c r="AC228" s="22"/>
      <c r="AD228" s="22"/>
      <c r="AE228" s="22"/>
    </row>
    <row r="229">
      <c r="A229" s="22"/>
      <c r="B229" s="22" t="str">
        <f>IF(ISBLANK(A229),"",VLOOKUP(A229,DOI_URL!$B$1:$C$74,2,FALSE()))</f>
        <v/>
      </c>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c r="AA229" s="22"/>
      <c r="AB229" s="22"/>
      <c r="AC229" s="22"/>
      <c r="AD229" s="22"/>
      <c r="AE229" s="22"/>
    </row>
    <row r="230">
      <c r="A230" s="22"/>
      <c r="B230" s="22" t="str">
        <f>IF(ISBLANK(A230),"",VLOOKUP(A230,DOI_URL!$B$1:$C$74,2,FALSE()))</f>
        <v/>
      </c>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c r="AA230" s="22"/>
      <c r="AB230" s="22"/>
      <c r="AC230" s="22"/>
      <c r="AD230" s="22"/>
      <c r="AE230" s="22"/>
    </row>
    <row r="231">
      <c r="A231" s="22"/>
      <c r="B231" s="22" t="str">
        <f>IF(ISBLANK(A231),"",VLOOKUP(A231,DOI_URL!$B$1:$C$74,2,FALSE()))</f>
        <v/>
      </c>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c r="AA231" s="22"/>
      <c r="AB231" s="22"/>
      <c r="AC231" s="22"/>
      <c r="AD231" s="22"/>
      <c r="AE231" s="22"/>
    </row>
    <row r="232">
      <c r="A232" s="22"/>
      <c r="B232" s="22" t="str">
        <f>IF(ISBLANK(A232),"",VLOOKUP(A232,DOI_URL!$B$1:$C$74,2,FALSE()))</f>
        <v/>
      </c>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c r="AA232" s="22"/>
      <c r="AB232" s="22"/>
      <c r="AC232" s="22"/>
      <c r="AD232" s="22"/>
      <c r="AE232" s="22"/>
    </row>
    <row r="233">
      <c r="A233" s="22"/>
      <c r="B233" s="22" t="str">
        <f>IF(ISBLANK(A233),"",VLOOKUP(A233,DOI_URL!$B$1:$C$74,2,FALSE()))</f>
        <v/>
      </c>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c r="AA233" s="22"/>
      <c r="AB233" s="22"/>
      <c r="AC233" s="22"/>
      <c r="AD233" s="22"/>
      <c r="AE233" s="22"/>
    </row>
    <row r="234">
      <c r="A234" s="22"/>
      <c r="B234" s="22" t="str">
        <f>IF(ISBLANK(A234),"",VLOOKUP(A234,DOI_URL!$B$1:$C$74,2,FALSE()))</f>
        <v/>
      </c>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c r="AA234" s="22"/>
      <c r="AB234" s="22"/>
      <c r="AC234" s="22"/>
      <c r="AD234" s="22"/>
      <c r="AE234" s="22"/>
    </row>
    <row r="235">
      <c r="A235" s="22"/>
      <c r="B235" s="22" t="str">
        <f>IF(ISBLANK(A235),"",VLOOKUP(A235,DOI_URL!$B$1:$C$74,2,FALSE()))</f>
        <v/>
      </c>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c r="AA235" s="22"/>
      <c r="AB235" s="22"/>
      <c r="AC235" s="22"/>
      <c r="AD235" s="22"/>
      <c r="AE235" s="22"/>
    </row>
    <row r="236">
      <c r="A236" s="22"/>
      <c r="B236" s="22" t="str">
        <f>IF(ISBLANK(A236),"",VLOOKUP(A236,DOI_URL!$B$1:$C$74,2,FALSE()))</f>
        <v/>
      </c>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c r="AA236" s="22"/>
      <c r="AB236" s="22"/>
      <c r="AC236" s="22"/>
      <c r="AD236" s="22"/>
      <c r="AE236" s="22"/>
    </row>
    <row r="237">
      <c r="A237" s="22"/>
      <c r="B237" s="22" t="str">
        <f>IF(ISBLANK(A237),"",VLOOKUP(A237,DOI_URL!$B$1:$C$74,2,FALSE()))</f>
        <v/>
      </c>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c r="AA237" s="22"/>
      <c r="AB237" s="22"/>
      <c r="AC237" s="22"/>
      <c r="AD237" s="22"/>
      <c r="AE237" s="22"/>
    </row>
    <row r="238">
      <c r="A238" s="22"/>
      <c r="B238" s="22" t="str">
        <f>IF(ISBLANK(A238),"",VLOOKUP(A238,DOI_URL!$B$1:$C$74,2,FALSE()))</f>
        <v/>
      </c>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c r="AA238" s="22"/>
      <c r="AB238" s="22"/>
      <c r="AC238" s="22"/>
      <c r="AD238" s="22"/>
      <c r="AE238" s="22"/>
    </row>
    <row r="239">
      <c r="A239" s="22"/>
      <c r="B239" s="22" t="str">
        <f>IF(ISBLANK(A239),"",VLOOKUP(A239,DOI_URL!$B$1:$C$74,2,FALSE()))</f>
        <v/>
      </c>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c r="AA239" s="22"/>
      <c r="AB239" s="22"/>
      <c r="AC239" s="22"/>
      <c r="AD239" s="22"/>
      <c r="AE239" s="22"/>
    </row>
    <row r="240">
      <c r="A240" s="22"/>
      <c r="B240" s="22" t="str">
        <f>IF(ISBLANK(A240),"",VLOOKUP(A240,DOI_URL!$B$1:$C$74,2,FALSE()))</f>
        <v/>
      </c>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c r="AA240" s="22"/>
      <c r="AB240" s="22"/>
      <c r="AC240" s="22"/>
      <c r="AD240" s="22"/>
      <c r="AE240" s="22"/>
    </row>
    <row r="241">
      <c r="A241" s="22"/>
      <c r="B241" s="22" t="str">
        <f>IF(ISBLANK(A241),"",VLOOKUP(A241,DOI_URL!$B$1:$C$74,2,FALSE()))</f>
        <v/>
      </c>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c r="AA241" s="22"/>
      <c r="AB241" s="22"/>
      <c r="AC241" s="22"/>
      <c r="AD241" s="22"/>
      <c r="AE241" s="22"/>
    </row>
    <row r="242">
      <c r="A242" s="22"/>
      <c r="B242" s="22" t="str">
        <f>IF(ISBLANK(A242),"",VLOOKUP(A242,DOI_URL!$B$1:$C$74,2,FALSE()))</f>
        <v/>
      </c>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c r="AA242" s="22"/>
      <c r="AB242" s="22"/>
      <c r="AC242" s="22"/>
      <c r="AD242" s="22"/>
      <c r="AE242" s="22"/>
    </row>
    <row r="243">
      <c r="A243" s="22"/>
      <c r="B243" s="22" t="str">
        <f>IF(ISBLANK(A243),"",VLOOKUP(A243,DOI_URL!$B$1:$C$74,2,FALSE()))</f>
        <v/>
      </c>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c r="AA243" s="22"/>
      <c r="AB243" s="22"/>
      <c r="AC243" s="22"/>
      <c r="AD243" s="22"/>
      <c r="AE243" s="22"/>
    </row>
    <row r="244">
      <c r="A244" s="22"/>
      <c r="B244" s="22" t="str">
        <f>IF(ISBLANK(A244),"",VLOOKUP(A244,DOI_URL!$B$1:$C$74,2,FALSE()))</f>
        <v/>
      </c>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c r="AA244" s="22"/>
      <c r="AB244" s="22"/>
      <c r="AC244" s="22"/>
      <c r="AD244" s="22"/>
      <c r="AE244" s="22"/>
    </row>
    <row r="245">
      <c r="A245" s="22"/>
      <c r="B245" s="22" t="str">
        <f>IF(ISBLANK(A245),"",VLOOKUP(A245,DOI_URL!$B$1:$C$74,2,FALSE()))</f>
        <v/>
      </c>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c r="AA245" s="22"/>
      <c r="AB245" s="22"/>
      <c r="AC245" s="22"/>
      <c r="AD245" s="22"/>
      <c r="AE245" s="22"/>
    </row>
    <row r="246">
      <c r="A246" s="22"/>
      <c r="B246" s="22" t="str">
        <f>IF(ISBLANK(A246),"",VLOOKUP(A246,DOI_URL!$B$1:$C$74,2,FALSE()))</f>
        <v/>
      </c>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c r="AA246" s="22"/>
      <c r="AB246" s="22"/>
      <c r="AC246" s="22"/>
      <c r="AD246" s="22"/>
      <c r="AE246" s="22"/>
    </row>
    <row r="247">
      <c r="A247" s="22"/>
      <c r="B247" s="22" t="str">
        <f>IF(ISBLANK(A247),"",VLOOKUP(A247,DOI_URL!$B$1:$C$74,2,FALSE()))</f>
        <v/>
      </c>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c r="AA247" s="22"/>
      <c r="AB247" s="22"/>
      <c r="AC247" s="22"/>
      <c r="AD247" s="22"/>
      <c r="AE247" s="22"/>
    </row>
    <row r="248">
      <c r="A248" s="22"/>
      <c r="B248" s="22" t="str">
        <f>IF(ISBLANK(A248),"",VLOOKUP(A248,DOI_URL!$B$1:$C$74,2,FALSE()))</f>
        <v/>
      </c>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c r="AA248" s="22"/>
      <c r="AB248" s="22"/>
      <c r="AC248" s="22"/>
      <c r="AD248" s="22"/>
      <c r="AE248" s="22"/>
    </row>
    <row r="249">
      <c r="A249" s="22"/>
      <c r="B249" s="22" t="str">
        <f>IF(ISBLANK(A249),"",VLOOKUP(A249,DOI_URL!$B$1:$C$74,2,FALSE()))</f>
        <v/>
      </c>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c r="AA249" s="22"/>
      <c r="AB249" s="22"/>
      <c r="AC249" s="22"/>
      <c r="AD249" s="22"/>
      <c r="AE249" s="22"/>
    </row>
    <row r="250">
      <c r="A250" s="22"/>
      <c r="B250" s="22" t="str">
        <f>IF(ISBLANK(A250),"",VLOOKUP(A250,DOI_URL!$B$1:$C$74,2,FALSE()))</f>
        <v/>
      </c>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row>
    <row r="251">
      <c r="A251" s="22"/>
      <c r="B251" s="22" t="str">
        <f>IF(ISBLANK(A251),"",VLOOKUP(A251,DOI_URL!$B$1:$C$74,2,FALSE()))</f>
        <v/>
      </c>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c r="AA251" s="22"/>
      <c r="AB251" s="22"/>
      <c r="AC251" s="22"/>
      <c r="AD251" s="22"/>
      <c r="AE251" s="22"/>
    </row>
    <row r="252">
      <c r="A252" s="22"/>
      <c r="B252" s="22" t="str">
        <f>IF(ISBLANK(A252),"",VLOOKUP(A252,DOI_URL!$B$1:$C$74,2,FALSE()))</f>
        <v/>
      </c>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c r="AA252" s="22"/>
      <c r="AB252" s="22"/>
      <c r="AC252" s="22"/>
      <c r="AD252" s="22"/>
      <c r="AE252" s="22"/>
    </row>
    <row r="253">
      <c r="A253" s="22"/>
      <c r="B253" s="22" t="str">
        <f>IF(ISBLANK(A253),"",VLOOKUP(A253,DOI_URL!$B$1:$C$74,2,FALSE()))</f>
        <v/>
      </c>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c r="AA253" s="22"/>
      <c r="AB253" s="22"/>
      <c r="AC253" s="22"/>
      <c r="AD253" s="22"/>
      <c r="AE253" s="22"/>
    </row>
    <row r="254">
      <c r="A254" s="22"/>
      <c r="B254" s="22" t="str">
        <f>IF(ISBLANK(A254),"",VLOOKUP(A254,DOI_URL!$B$1:$C$74,2,FALSE()))</f>
        <v/>
      </c>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c r="AA254" s="22"/>
      <c r="AB254" s="22"/>
      <c r="AC254" s="22"/>
      <c r="AD254" s="22"/>
      <c r="AE254" s="22"/>
    </row>
    <row r="255">
      <c r="A255" s="22"/>
      <c r="B255" s="22" t="str">
        <f>IF(ISBLANK(A255),"",VLOOKUP(A255,DOI_URL!$B$1:$C$74,2,FALSE()))</f>
        <v/>
      </c>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c r="AA255" s="22"/>
      <c r="AB255" s="22"/>
      <c r="AC255" s="22"/>
      <c r="AD255" s="22"/>
      <c r="AE255" s="22"/>
    </row>
    <row r="256">
      <c r="A256" s="22"/>
      <c r="B256" s="22" t="str">
        <f>IF(ISBLANK(A256),"",VLOOKUP(A256,DOI_URL!$B$1:$C$74,2,FALSE()))</f>
        <v/>
      </c>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c r="AA256" s="22"/>
      <c r="AB256" s="22"/>
      <c r="AC256" s="22"/>
      <c r="AD256" s="22"/>
      <c r="AE256" s="22"/>
    </row>
    <row r="257">
      <c r="A257" s="22"/>
      <c r="B257" s="22" t="str">
        <f>IF(ISBLANK(A257),"",VLOOKUP(A257,DOI_URL!$B$1:$C$74,2,FALSE()))</f>
        <v/>
      </c>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c r="AA257" s="22"/>
      <c r="AB257" s="22"/>
      <c r="AC257" s="22"/>
      <c r="AD257" s="22"/>
      <c r="AE257" s="22"/>
    </row>
    <row r="258">
      <c r="A258" s="22"/>
      <c r="B258" s="22" t="str">
        <f>IF(ISBLANK(A258),"",VLOOKUP(A258,DOI_URL!$B$1:$C$74,2,FALSE()))</f>
        <v/>
      </c>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c r="AA258" s="22"/>
      <c r="AB258" s="22"/>
      <c r="AC258" s="22"/>
      <c r="AD258" s="22"/>
      <c r="AE258" s="22"/>
    </row>
    <row r="259">
      <c r="A259" s="22"/>
      <c r="B259" s="22" t="str">
        <f>IF(ISBLANK(A259),"",VLOOKUP(A259,DOI_URL!$B$1:$C$74,2,FALSE()))</f>
        <v/>
      </c>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c r="AA259" s="22"/>
      <c r="AB259" s="22"/>
      <c r="AC259" s="22"/>
      <c r="AD259" s="22"/>
      <c r="AE259" s="22"/>
    </row>
    <row r="260">
      <c r="A260" s="22"/>
      <c r="B260" s="22" t="str">
        <f>IF(ISBLANK(A260),"",VLOOKUP(A260,DOI_URL!$B$1:$C$74,2,FALSE()))</f>
        <v/>
      </c>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c r="AA260" s="22"/>
      <c r="AB260" s="22"/>
      <c r="AC260" s="22"/>
      <c r="AD260" s="22"/>
      <c r="AE260" s="22"/>
    </row>
    <row r="261">
      <c r="A261" s="22"/>
      <c r="B261" s="22" t="str">
        <f>IF(ISBLANK(A261),"",VLOOKUP(A261,DOI_URL!$B$1:$C$74,2,FALSE()))</f>
        <v/>
      </c>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c r="AA261" s="22"/>
      <c r="AB261" s="22"/>
      <c r="AC261" s="22"/>
      <c r="AD261" s="22"/>
      <c r="AE261" s="22"/>
    </row>
    <row r="262">
      <c r="A262" s="22"/>
      <c r="B262" s="22" t="str">
        <f>IF(ISBLANK(A262),"",VLOOKUP(A262,DOI_URL!$B$1:$C$74,2,FALSE()))</f>
        <v/>
      </c>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c r="AA262" s="22"/>
      <c r="AB262" s="22"/>
      <c r="AC262" s="22"/>
      <c r="AD262" s="22"/>
      <c r="AE262" s="22"/>
    </row>
    <row r="263">
      <c r="A263" s="22"/>
      <c r="B263" s="22" t="str">
        <f>IF(ISBLANK(A263),"",VLOOKUP(A263,DOI_URL!$B$1:$C$74,2,FALSE()))</f>
        <v/>
      </c>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c r="AA263" s="22"/>
      <c r="AB263" s="22"/>
      <c r="AC263" s="22"/>
      <c r="AD263" s="22"/>
      <c r="AE263" s="22"/>
    </row>
    <row r="264">
      <c r="A264" s="22"/>
      <c r="B264" s="22" t="str">
        <f>IF(ISBLANK(A264),"",VLOOKUP(A264,DOI_URL!$B$1:$C$74,2,FALSE()))</f>
        <v/>
      </c>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c r="AA264" s="22"/>
      <c r="AB264" s="22"/>
      <c r="AC264" s="22"/>
      <c r="AD264" s="22"/>
      <c r="AE264" s="22"/>
    </row>
    <row r="265">
      <c r="A265" s="22"/>
      <c r="B265" s="22" t="str">
        <f>IF(ISBLANK(A265),"",VLOOKUP(A265,DOI_URL!$B$1:$C$74,2,FALSE()))</f>
        <v/>
      </c>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c r="AA265" s="22"/>
      <c r="AB265" s="22"/>
      <c r="AC265" s="22"/>
      <c r="AD265" s="22"/>
      <c r="AE265" s="22"/>
    </row>
    <row r="266">
      <c r="A266" s="22"/>
      <c r="B266" s="22" t="str">
        <f>IF(ISBLANK(A266),"",VLOOKUP(A266,DOI_URL!$B$1:$C$74,2,FALSE()))</f>
        <v/>
      </c>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c r="AA266" s="22"/>
      <c r="AB266" s="22"/>
      <c r="AC266" s="22"/>
      <c r="AD266" s="22"/>
      <c r="AE266" s="22"/>
    </row>
    <row r="267">
      <c r="A267" s="22"/>
      <c r="B267" s="22" t="str">
        <f>IF(ISBLANK(A267),"",VLOOKUP(A267,DOI_URL!$B$1:$C$74,2,FALSE()))</f>
        <v/>
      </c>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c r="AA267" s="22"/>
      <c r="AB267" s="22"/>
      <c r="AC267" s="22"/>
      <c r="AD267" s="22"/>
      <c r="AE267" s="22"/>
    </row>
    <row r="268">
      <c r="A268" s="22"/>
      <c r="B268" s="22" t="str">
        <f>IF(ISBLANK(A268),"",VLOOKUP(A268,DOI_URL!$B$1:$C$74,2,FALSE()))</f>
        <v/>
      </c>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c r="AA268" s="22"/>
      <c r="AB268" s="22"/>
      <c r="AC268" s="22"/>
      <c r="AD268" s="22"/>
      <c r="AE268" s="22"/>
    </row>
    <row r="269">
      <c r="A269" s="22"/>
      <c r="B269" s="22" t="str">
        <f>IF(ISBLANK(A269),"",VLOOKUP(A269,DOI_URL!$B$1:$C$74,2,FALSE()))</f>
        <v/>
      </c>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c r="AA269" s="22"/>
      <c r="AB269" s="22"/>
      <c r="AC269" s="22"/>
      <c r="AD269" s="22"/>
      <c r="AE269" s="22"/>
    </row>
    <row r="270">
      <c r="A270" s="22"/>
      <c r="B270" s="22" t="str">
        <f>IF(ISBLANK(A270),"",VLOOKUP(A270,DOI_URL!$B$1:$C$74,2,FALSE()))</f>
        <v/>
      </c>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c r="AA270" s="22"/>
      <c r="AB270" s="22"/>
      <c r="AC270" s="22"/>
      <c r="AD270" s="22"/>
      <c r="AE270" s="22"/>
    </row>
    <row r="271">
      <c r="A271" s="22"/>
      <c r="B271" s="22" t="str">
        <f>IF(ISBLANK(A271),"",VLOOKUP(A271,DOI_URL!$B$1:$C$74,2,FALSE()))</f>
        <v/>
      </c>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c r="AA271" s="22"/>
      <c r="AB271" s="22"/>
      <c r="AC271" s="22"/>
      <c r="AD271" s="22"/>
      <c r="AE271" s="22"/>
    </row>
    <row r="272">
      <c r="A272" s="22"/>
      <c r="B272" s="22" t="str">
        <f>IF(ISBLANK(A272),"",VLOOKUP(A272,DOI_URL!$B$1:$C$74,2,FALSE()))</f>
        <v/>
      </c>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c r="AA272" s="22"/>
      <c r="AB272" s="22"/>
      <c r="AC272" s="22"/>
      <c r="AD272" s="22"/>
      <c r="AE272" s="22"/>
    </row>
    <row r="273">
      <c r="A273" s="22"/>
      <c r="B273" s="22" t="str">
        <f>IF(ISBLANK(A273),"",VLOOKUP(A273,DOI_URL!$B$1:$C$74,2,FALSE()))</f>
        <v/>
      </c>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c r="AA273" s="22"/>
      <c r="AB273" s="22"/>
      <c r="AC273" s="22"/>
      <c r="AD273" s="22"/>
      <c r="AE273" s="22"/>
    </row>
    <row r="274">
      <c r="A274" s="22"/>
      <c r="B274" s="22" t="str">
        <f>IF(ISBLANK(A274),"",VLOOKUP(A274,DOI_URL!$B$1:$C$74,2,FALSE()))</f>
        <v/>
      </c>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c r="AA274" s="22"/>
      <c r="AB274" s="22"/>
      <c r="AC274" s="22"/>
      <c r="AD274" s="22"/>
      <c r="AE274" s="22"/>
    </row>
    <row r="275">
      <c r="A275" s="22"/>
      <c r="B275" s="22" t="str">
        <f>IF(ISBLANK(A275),"",VLOOKUP(A275,DOI_URL!$B$1:$C$74,2,FALSE()))</f>
        <v/>
      </c>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row>
    <row r="276">
      <c r="A276" s="22"/>
      <c r="B276" s="22" t="str">
        <f>IF(ISBLANK(A276),"",VLOOKUP(A276,DOI_URL!$B$1:$C$74,2,FALSE()))</f>
        <v/>
      </c>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c r="AA276" s="22"/>
      <c r="AB276" s="22"/>
      <c r="AC276" s="22"/>
      <c r="AD276" s="22"/>
      <c r="AE276" s="22"/>
    </row>
    <row r="277">
      <c r="A277" s="22"/>
      <c r="B277" s="22" t="str">
        <f>IF(ISBLANK(A277),"",VLOOKUP(A277,DOI_URL!$B$1:$C$74,2,FALSE()))</f>
        <v/>
      </c>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c r="AA277" s="22"/>
      <c r="AB277" s="22"/>
      <c r="AC277" s="22"/>
      <c r="AD277" s="22"/>
      <c r="AE277" s="22"/>
    </row>
    <row r="278">
      <c r="A278" s="22"/>
      <c r="B278" s="22" t="str">
        <f>IF(ISBLANK(A278),"",VLOOKUP(A278,DOI_URL!$B$1:$C$74,2,FALSE()))</f>
        <v/>
      </c>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c r="AA278" s="22"/>
      <c r="AB278" s="22"/>
      <c r="AC278" s="22"/>
      <c r="AD278" s="22"/>
      <c r="AE278" s="22"/>
    </row>
    <row r="279">
      <c r="A279" s="22"/>
      <c r="B279" s="22" t="str">
        <f>IF(ISBLANK(A279),"",VLOOKUP(A279,DOI_URL!$B$1:$C$74,2,FALSE()))</f>
        <v/>
      </c>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c r="AA279" s="22"/>
      <c r="AB279" s="22"/>
      <c r="AC279" s="22"/>
      <c r="AD279" s="22"/>
      <c r="AE279" s="22"/>
    </row>
    <row r="280">
      <c r="A280" s="22"/>
      <c r="B280" s="22" t="str">
        <f>IF(ISBLANK(A280),"",VLOOKUP(A280,DOI_URL!$B$1:$C$74,2,FALSE()))</f>
        <v/>
      </c>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c r="AA280" s="22"/>
      <c r="AB280" s="22"/>
      <c r="AC280" s="22"/>
      <c r="AD280" s="22"/>
      <c r="AE280" s="22"/>
    </row>
    <row r="281">
      <c r="A281" s="22"/>
      <c r="B281" s="22" t="str">
        <f>IF(ISBLANK(A281),"",VLOOKUP(A281,DOI_URL!$B$1:$C$74,2,FALSE()))</f>
        <v/>
      </c>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c r="AA281" s="22"/>
      <c r="AB281" s="22"/>
      <c r="AC281" s="22"/>
      <c r="AD281" s="22"/>
      <c r="AE281" s="22"/>
    </row>
    <row r="282">
      <c r="A282" s="22"/>
      <c r="B282" s="22" t="str">
        <f>IF(ISBLANK(A282),"",VLOOKUP(A282,DOI_URL!$B$1:$C$74,2,FALSE()))</f>
        <v/>
      </c>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c r="AA282" s="22"/>
      <c r="AB282" s="22"/>
      <c r="AC282" s="22"/>
      <c r="AD282" s="22"/>
      <c r="AE282" s="22"/>
    </row>
    <row r="283">
      <c r="A283" s="22"/>
      <c r="B283" s="22" t="str">
        <f>IF(ISBLANK(A283),"",VLOOKUP(A283,DOI_URL!$B$1:$C$74,2,FALSE()))</f>
        <v/>
      </c>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c r="AA283" s="22"/>
      <c r="AB283" s="22"/>
      <c r="AC283" s="22"/>
      <c r="AD283" s="22"/>
      <c r="AE283" s="22"/>
    </row>
    <row r="284">
      <c r="A284" s="22"/>
      <c r="B284" s="22" t="str">
        <f>IF(ISBLANK(A284),"",VLOOKUP(A284,DOI_URL!$B$1:$C$74,2,FALSE()))</f>
        <v/>
      </c>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c r="AA284" s="22"/>
      <c r="AB284" s="22"/>
      <c r="AC284" s="22"/>
      <c r="AD284" s="22"/>
      <c r="AE284" s="22"/>
    </row>
    <row r="285">
      <c r="A285" s="22"/>
      <c r="B285" s="22" t="str">
        <f>IF(ISBLANK(A285),"",VLOOKUP(A285,DOI_URL!$B$1:$C$74,2,FALSE()))</f>
        <v/>
      </c>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c r="AA285" s="22"/>
      <c r="AB285" s="22"/>
      <c r="AC285" s="22"/>
      <c r="AD285" s="22"/>
      <c r="AE285" s="22"/>
    </row>
    <row r="286">
      <c r="A286" s="22"/>
      <c r="B286" s="22" t="str">
        <f>IF(ISBLANK(A286),"",VLOOKUP(A286,DOI_URL!$B$1:$C$74,2,FALSE()))</f>
        <v/>
      </c>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c r="AA286" s="22"/>
      <c r="AB286" s="22"/>
      <c r="AC286" s="22"/>
      <c r="AD286" s="22"/>
      <c r="AE286" s="22"/>
    </row>
    <row r="287">
      <c r="A287" s="22"/>
      <c r="B287" s="22" t="str">
        <f>IF(ISBLANK(A287),"",VLOOKUP(A287,DOI_URL!$B$1:$C$74,2,FALSE()))</f>
        <v/>
      </c>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c r="AA287" s="22"/>
      <c r="AB287" s="22"/>
      <c r="AC287" s="22"/>
      <c r="AD287" s="22"/>
      <c r="AE287" s="22"/>
    </row>
    <row r="288">
      <c r="A288" s="22"/>
      <c r="B288" s="22" t="str">
        <f>IF(ISBLANK(A288),"",VLOOKUP(A288,DOI_URL!$B$1:$C$74,2,FALSE()))</f>
        <v/>
      </c>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c r="AA288" s="22"/>
      <c r="AB288" s="22"/>
      <c r="AC288" s="22"/>
      <c r="AD288" s="22"/>
      <c r="AE288" s="22"/>
    </row>
    <row r="289">
      <c r="A289" s="22"/>
      <c r="B289" s="22" t="str">
        <f>IF(ISBLANK(A289),"",VLOOKUP(A289,DOI_URL!$B$1:$C$74,2,FALSE()))</f>
        <v/>
      </c>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c r="AA289" s="22"/>
      <c r="AB289" s="22"/>
      <c r="AC289" s="22"/>
      <c r="AD289" s="22"/>
      <c r="AE289" s="22"/>
    </row>
    <row r="290">
      <c r="A290" s="22"/>
      <c r="B290" s="22" t="str">
        <f>IF(ISBLANK(A290),"",VLOOKUP(A290,DOI_URL!$B$1:$C$74,2,FALSE()))</f>
        <v/>
      </c>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c r="AA290" s="22"/>
      <c r="AB290" s="22"/>
      <c r="AC290" s="22"/>
      <c r="AD290" s="22"/>
      <c r="AE290" s="22"/>
    </row>
    <row r="291">
      <c r="A291" s="22"/>
      <c r="B291" s="22" t="str">
        <f>IF(ISBLANK(A291),"",VLOOKUP(A291,DOI_URL!$B$1:$C$74,2,FALSE()))</f>
        <v/>
      </c>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c r="AA291" s="22"/>
      <c r="AB291" s="22"/>
      <c r="AC291" s="22"/>
      <c r="AD291" s="22"/>
      <c r="AE291" s="22"/>
    </row>
    <row r="292">
      <c r="A292" s="22"/>
      <c r="B292" s="22" t="str">
        <f>IF(ISBLANK(A292),"",VLOOKUP(A292,DOI_URL!$B$1:$C$74,2,FALSE()))</f>
        <v/>
      </c>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c r="AA292" s="22"/>
      <c r="AB292" s="22"/>
      <c r="AC292" s="22"/>
      <c r="AD292" s="22"/>
      <c r="AE292" s="22"/>
    </row>
    <row r="293">
      <c r="A293" s="22"/>
      <c r="B293" s="22" t="str">
        <f>IF(ISBLANK(A293),"",VLOOKUP(A293,DOI_URL!$B$1:$C$74,2,FALSE()))</f>
        <v/>
      </c>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c r="AA293" s="22"/>
      <c r="AB293" s="22"/>
      <c r="AC293" s="22"/>
      <c r="AD293" s="22"/>
      <c r="AE293" s="22"/>
    </row>
    <row r="294">
      <c r="A294" s="22"/>
      <c r="B294" s="22" t="str">
        <f>IF(ISBLANK(A294),"",VLOOKUP(A294,DOI_URL!$B$1:$C$74,2,FALSE()))</f>
        <v/>
      </c>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c r="AA294" s="22"/>
      <c r="AB294" s="22"/>
      <c r="AC294" s="22"/>
      <c r="AD294" s="22"/>
      <c r="AE294" s="22"/>
    </row>
    <row r="295">
      <c r="A295" s="22"/>
      <c r="B295" s="22" t="str">
        <f>IF(ISBLANK(A295),"",VLOOKUP(A295,DOI_URL!$B$1:$C$74,2,FALSE()))</f>
        <v/>
      </c>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c r="AA295" s="22"/>
      <c r="AB295" s="22"/>
      <c r="AC295" s="22"/>
      <c r="AD295" s="22"/>
      <c r="AE295" s="22"/>
    </row>
    <row r="296">
      <c r="A296" s="22"/>
      <c r="B296" s="22" t="str">
        <f>IF(ISBLANK(A296),"",VLOOKUP(A296,DOI_URL!$B$1:$C$74,2,FALSE()))</f>
        <v/>
      </c>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c r="AA296" s="22"/>
      <c r="AB296" s="22"/>
      <c r="AC296" s="22"/>
      <c r="AD296" s="22"/>
      <c r="AE296" s="22"/>
    </row>
    <row r="297">
      <c r="A297" s="22"/>
      <c r="B297" s="22" t="str">
        <f>IF(ISBLANK(A297),"",VLOOKUP(A297,DOI_URL!$B$1:$C$74,2,FALSE()))</f>
        <v/>
      </c>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c r="AA297" s="22"/>
      <c r="AB297" s="22"/>
      <c r="AC297" s="22"/>
      <c r="AD297" s="22"/>
      <c r="AE297" s="22"/>
    </row>
    <row r="298">
      <c r="A298" s="22"/>
      <c r="B298" s="22" t="str">
        <f>IF(ISBLANK(A298),"",VLOOKUP(A298,DOI_URL!$B$1:$C$74,2,FALSE()))</f>
        <v/>
      </c>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c r="AA298" s="22"/>
      <c r="AB298" s="22"/>
      <c r="AC298" s="22"/>
      <c r="AD298" s="22"/>
      <c r="AE298" s="22"/>
    </row>
    <row r="299">
      <c r="A299" s="22"/>
      <c r="B299" s="22" t="str">
        <f>IF(ISBLANK(A299),"",VLOOKUP(A299,DOI_URL!$B$1:$C$74,2,FALSE()))</f>
        <v/>
      </c>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c r="AA299" s="22"/>
      <c r="AB299" s="22"/>
      <c r="AC299" s="22"/>
      <c r="AD299" s="22"/>
      <c r="AE299" s="22"/>
    </row>
    <row r="300">
      <c r="A300" s="22"/>
      <c r="B300" s="22" t="str">
        <f>IF(ISBLANK(A300),"",VLOOKUP(A300,DOI_URL!$B$1:$C$74,2,FALSE()))</f>
        <v/>
      </c>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row>
    <row r="301">
      <c r="A301" s="22"/>
      <c r="B301" s="22" t="str">
        <f>IF(ISBLANK(A301),"",VLOOKUP(A301,DOI_URL!$B$1:$C$74,2,FALSE()))</f>
        <v/>
      </c>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c r="AA301" s="22"/>
      <c r="AB301" s="22"/>
      <c r="AC301" s="22"/>
      <c r="AD301" s="22"/>
      <c r="AE301" s="22"/>
    </row>
    <row r="302">
      <c r="A302" s="22"/>
      <c r="B302" s="22" t="str">
        <f>IF(ISBLANK(A302),"",VLOOKUP(A302,DOI_URL!$B$1:$C$74,2,FALSE()))</f>
        <v/>
      </c>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c r="AA302" s="22"/>
      <c r="AB302" s="22"/>
      <c r="AC302" s="22"/>
      <c r="AD302" s="22"/>
      <c r="AE302" s="22"/>
    </row>
    <row r="303">
      <c r="A303" s="22"/>
      <c r="B303" s="22" t="str">
        <f>IF(ISBLANK(A303),"",VLOOKUP(A303,DOI_URL!$B$1:$C$74,2,FALSE()))</f>
        <v/>
      </c>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c r="AA303" s="22"/>
      <c r="AB303" s="22"/>
      <c r="AC303" s="22"/>
      <c r="AD303" s="22"/>
      <c r="AE303" s="22"/>
    </row>
    <row r="304">
      <c r="A304" s="22"/>
      <c r="B304" s="22" t="str">
        <f>IF(ISBLANK(A304),"",VLOOKUP(A304,DOI_URL!$B$1:$C$74,2,FALSE()))</f>
        <v/>
      </c>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c r="AA304" s="22"/>
      <c r="AB304" s="22"/>
      <c r="AC304" s="22"/>
      <c r="AD304" s="22"/>
      <c r="AE304" s="22"/>
    </row>
    <row r="305">
      <c r="A305" s="22"/>
      <c r="B305" s="22" t="str">
        <f>IF(ISBLANK(A305),"",VLOOKUP(A305,DOI_URL!$B$1:$C$74,2,FALSE()))</f>
        <v/>
      </c>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c r="AA305" s="22"/>
      <c r="AB305" s="22"/>
      <c r="AC305" s="22"/>
      <c r="AD305" s="22"/>
      <c r="AE305" s="22"/>
    </row>
    <row r="306">
      <c r="A306" s="22"/>
      <c r="B306" s="22" t="str">
        <f>IF(ISBLANK(A306),"",VLOOKUP(A306,DOI_URL!$B$1:$C$74,2,FALSE()))</f>
        <v/>
      </c>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c r="AA306" s="22"/>
      <c r="AB306" s="22"/>
      <c r="AC306" s="22"/>
      <c r="AD306" s="22"/>
      <c r="AE306" s="22"/>
    </row>
    <row r="307">
      <c r="A307" s="22"/>
      <c r="B307" s="22" t="str">
        <f>IF(ISBLANK(A307),"",VLOOKUP(A307,DOI_URL!$B$1:$C$74,2,FALSE()))</f>
        <v/>
      </c>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c r="AA307" s="22"/>
      <c r="AB307" s="22"/>
      <c r="AC307" s="22"/>
      <c r="AD307" s="22"/>
      <c r="AE307" s="22"/>
    </row>
    <row r="308">
      <c r="A308" s="22"/>
      <c r="B308" s="22" t="str">
        <f>IF(ISBLANK(A308),"",VLOOKUP(A308,DOI_URL!$B$1:$C$74,2,FALSE()))</f>
        <v/>
      </c>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c r="AA308" s="22"/>
      <c r="AB308" s="22"/>
      <c r="AC308" s="22"/>
      <c r="AD308" s="22"/>
      <c r="AE308" s="22"/>
    </row>
    <row r="309">
      <c r="A309" s="22"/>
      <c r="B309" s="22" t="str">
        <f>IF(ISBLANK(A309),"",VLOOKUP(A309,DOI_URL!$B$1:$C$74,2,FALSE()))</f>
        <v/>
      </c>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c r="AA309" s="22"/>
      <c r="AB309" s="22"/>
      <c r="AC309" s="22"/>
      <c r="AD309" s="22"/>
      <c r="AE309" s="22"/>
    </row>
    <row r="310">
      <c r="A310" s="22"/>
      <c r="B310" s="22" t="str">
        <f>IF(ISBLANK(A310),"",VLOOKUP(A310,DOI_URL!$B$1:$C$74,2,FALSE()))</f>
        <v/>
      </c>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c r="AA310" s="22"/>
      <c r="AB310" s="22"/>
      <c r="AC310" s="22"/>
      <c r="AD310" s="22"/>
      <c r="AE310" s="22"/>
    </row>
    <row r="311">
      <c r="A311" s="22"/>
      <c r="B311" s="22" t="str">
        <f>IF(ISBLANK(A311),"",VLOOKUP(A311,DOI_URL!$B$1:$C$74,2,FALSE()))</f>
        <v/>
      </c>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c r="AA311" s="22"/>
      <c r="AB311" s="22"/>
      <c r="AC311" s="22"/>
      <c r="AD311" s="22"/>
      <c r="AE311" s="22"/>
    </row>
    <row r="312">
      <c r="A312" s="22"/>
      <c r="B312" s="22" t="str">
        <f>IF(ISBLANK(A312),"",VLOOKUP(A312,DOI_URL!$B$1:$C$74,2,FALSE()))</f>
        <v/>
      </c>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c r="AA312" s="22"/>
      <c r="AB312" s="22"/>
      <c r="AC312" s="22"/>
      <c r="AD312" s="22"/>
      <c r="AE312" s="22"/>
    </row>
    <row r="313">
      <c r="A313" s="22"/>
      <c r="B313" s="22" t="str">
        <f>IF(ISBLANK(A313),"",VLOOKUP(A313,DOI_URL!$B$1:$C$74,2,FALSE()))</f>
        <v/>
      </c>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c r="AA313" s="22"/>
      <c r="AB313" s="22"/>
      <c r="AC313" s="22"/>
      <c r="AD313" s="22"/>
      <c r="AE313" s="22"/>
    </row>
    <row r="314">
      <c r="A314" s="22"/>
      <c r="B314" s="22" t="str">
        <f>IF(ISBLANK(A314),"",VLOOKUP(A314,DOI_URL!$B$1:$C$74,2,FALSE()))</f>
        <v/>
      </c>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c r="AA314" s="22"/>
      <c r="AB314" s="22"/>
      <c r="AC314" s="22"/>
      <c r="AD314" s="22"/>
      <c r="AE314" s="22"/>
    </row>
    <row r="315">
      <c r="A315" s="22"/>
      <c r="B315" s="22" t="str">
        <f>IF(ISBLANK(A315),"",VLOOKUP(A315,DOI_URL!$B$1:$C$74,2,FALSE()))</f>
        <v/>
      </c>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c r="AA315" s="22"/>
      <c r="AB315" s="22"/>
      <c r="AC315" s="22"/>
      <c r="AD315" s="22"/>
      <c r="AE315" s="22"/>
    </row>
    <row r="316">
      <c r="A316" s="22"/>
      <c r="B316" s="22" t="str">
        <f>IF(ISBLANK(A316),"",VLOOKUP(A316,DOI_URL!$B$1:$C$74,2,FALSE()))</f>
        <v/>
      </c>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c r="AA316" s="22"/>
      <c r="AB316" s="22"/>
      <c r="AC316" s="22"/>
      <c r="AD316" s="22"/>
      <c r="AE316" s="22"/>
    </row>
    <row r="317">
      <c r="A317" s="22"/>
      <c r="B317" s="22" t="str">
        <f>IF(ISBLANK(A317),"",VLOOKUP(A317,DOI_URL!$B$1:$C$74,2,FALSE()))</f>
        <v/>
      </c>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c r="AA317" s="22"/>
      <c r="AB317" s="22"/>
      <c r="AC317" s="22"/>
      <c r="AD317" s="22"/>
      <c r="AE317" s="22"/>
    </row>
    <row r="318">
      <c r="A318" s="22"/>
      <c r="B318" s="22" t="str">
        <f>IF(ISBLANK(A318),"",VLOOKUP(A318,DOI_URL!$B$1:$C$74,2,FALSE()))</f>
        <v/>
      </c>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c r="AA318" s="22"/>
      <c r="AB318" s="22"/>
      <c r="AC318" s="22"/>
      <c r="AD318" s="22"/>
      <c r="AE318" s="22"/>
    </row>
    <row r="319">
      <c r="A319" s="22"/>
      <c r="B319" s="22" t="str">
        <f>IF(ISBLANK(A319),"",VLOOKUP(A319,DOI_URL!$B$1:$C$74,2,FALSE()))</f>
        <v/>
      </c>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c r="AA319" s="22"/>
      <c r="AB319" s="22"/>
      <c r="AC319" s="22"/>
      <c r="AD319" s="22"/>
      <c r="AE319" s="22"/>
    </row>
    <row r="320">
      <c r="A320" s="22"/>
      <c r="B320" s="22" t="str">
        <f>IF(ISBLANK(A320),"",VLOOKUP(A320,DOI_URL!$B$1:$C$74,2,FALSE()))</f>
        <v/>
      </c>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c r="AA320" s="22"/>
      <c r="AB320" s="22"/>
      <c r="AC320" s="22"/>
      <c r="AD320" s="22"/>
      <c r="AE320" s="22"/>
    </row>
    <row r="321">
      <c r="A321" s="22"/>
      <c r="B321" s="22" t="str">
        <f>IF(ISBLANK(A321),"",VLOOKUP(A321,DOI_URL!$B$1:$C$74,2,FALSE()))</f>
        <v/>
      </c>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c r="AA321" s="22"/>
      <c r="AB321" s="22"/>
      <c r="AC321" s="22"/>
      <c r="AD321" s="22"/>
      <c r="AE321" s="22"/>
    </row>
    <row r="322">
      <c r="A322" s="22"/>
      <c r="B322" s="22" t="str">
        <f>IF(ISBLANK(A322),"",VLOOKUP(A322,DOI_URL!$B$1:$C$74,2,FALSE()))</f>
        <v/>
      </c>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c r="AA322" s="22"/>
      <c r="AB322" s="22"/>
      <c r="AC322" s="22"/>
      <c r="AD322" s="22"/>
      <c r="AE322" s="22"/>
    </row>
    <row r="323">
      <c r="A323" s="22"/>
      <c r="B323" s="22" t="str">
        <f>IF(ISBLANK(A323),"",VLOOKUP(A323,DOI_URL!$B$1:$C$74,2,FALSE()))</f>
        <v/>
      </c>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c r="AA323" s="22"/>
      <c r="AB323" s="22"/>
      <c r="AC323" s="22"/>
      <c r="AD323" s="22"/>
      <c r="AE323" s="22"/>
    </row>
    <row r="324">
      <c r="A324" s="22"/>
      <c r="B324" s="22" t="str">
        <f>IF(ISBLANK(A324),"",VLOOKUP(A324,DOI_URL!$B$1:$C$74,2,FALSE()))</f>
        <v/>
      </c>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c r="AA324" s="22"/>
      <c r="AB324" s="22"/>
      <c r="AC324" s="22"/>
      <c r="AD324" s="22"/>
      <c r="AE324" s="22"/>
    </row>
    <row r="325">
      <c r="A325" s="22"/>
      <c r="B325" s="22" t="str">
        <f>IF(ISBLANK(A325),"",VLOOKUP(A325,DOI_URL!$B$1:$C$74,2,FALSE()))</f>
        <v/>
      </c>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row>
    <row r="326">
      <c r="A326" s="22"/>
      <c r="B326" s="22" t="str">
        <f>IF(ISBLANK(A326),"",VLOOKUP(A326,DOI_URL!$B$1:$C$74,2,FALSE()))</f>
        <v/>
      </c>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c r="AA326" s="22"/>
      <c r="AB326" s="22"/>
      <c r="AC326" s="22"/>
      <c r="AD326" s="22"/>
      <c r="AE326" s="22"/>
    </row>
    <row r="327">
      <c r="A327" s="22"/>
      <c r="B327" s="22" t="str">
        <f>IF(ISBLANK(A327),"",VLOOKUP(A327,DOI_URL!$B$1:$C$74,2,FALSE()))</f>
        <v/>
      </c>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c r="AA327" s="22"/>
      <c r="AB327" s="22"/>
      <c r="AC327" s="22"/>
      <c r="AD327" s="22"/>
      <c r="AE327" s="22"/>
    </row>
    <row r="328">
      <c r="A328" s="22"/>
      <c r="B328" s="22" t="str">
        <f>IF(ISBLANK(A328),"",VLOOKUP(A328,DOI_URL!$B$1:$C$74,2,FALSE()))</f>
        <v/>
      </c>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c r="AA328" s="22"/>
      <c r="AB328" s="22"/>
      <c r="AC328" s="22"/>
      <c r="AD328" s="22"/>
      <c r="AE328" s="22"/>
    </row>
    <row r="329">
      <c r="A329" s="22"/>
      <c r="B329" s="22" t="str">
        <f>IF(ISBLANK(A329),"",VLOOKUP(A329,DOI_URL!$B$1:$C$74,2,FALSE()))</f>
        <v/>
      </c>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c r="AA329" s="22"/>
      <c r="AB329" s="22"/>
      <c r="AC329" s="22"/>
      <c r="AD329" s="22"/>
      <c r="AE329" s="22"/>
    </row>
    <row r="330">
      <c r="A330" s="22"/>
      <c r="B330" s="22" t="str">
        <f>IF(ISBLANK(A330),"",VLOOKUP(A330,DOI_URL!$B$1:$C$74,2,FALSE()))</f>
        <v/>
      </c>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c r="AA330" s="22"/>
      <c r="AB330" s="22"/>
      <c r="AC330" s="22"/>
      <c r="AD330" s="22"/>
      <c r="AE330" s="22"/>
    </row>
    <row r="331">
      <c r="A331" s="22"/>
      <c r="B331" s="22" t="str">
        <f>IF(ISBLANK(A331),"",VLOOKUP(A331,DOI_URL!$B$1:$C$74,2,FALSE()))</f>
        <v/>
      </c>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c r="AA331" s="22"/>
      <c r="AB331" s="22"/>
      <c r="AC331" s="22"/>
      <c r="AD331" s="22"/>
      <c r="AE331" s="22"/>
    </row>
    <row r="332">
      <c r="A332" s="22"/>
      <c r="B332" s="22" t="str">
        <f>IF(ISBLANK(A332),"",VLOOKUP(A332,DOI_URL!$B$1:$C$74,2,FALSE()))</f>
        <v/>
      </c>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c r="AA332" s="22"/>
      <c r="AB332" s="22"/>
      <c r="AC332" s="22"/>
      <c r="AD332" s="22"/>
      <c r="AE332" s="22"/>
    </row>
    <row r="333">
      <c r="A333" s="22"/>
      <c r="B333" s="22" t="str">
        <f>IF(ISBLANK(A333),"",VLOOKUP(A333,DOI_URL!$B$1:$C$74,2,FALSE()))</f>
        <v/>
      </c>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c r="AA333" s="22"/>
      <c r="AB333" s="22"/>
      <c r="AC333" s="22"/>
      <c r="AD333" s="22"/>
      <c r="AE333" s="22"/>
    </row>
    <row r="334">
      <c r="A334" s="22"/>
      <c r="B334" s="22" t="str">
        <f>IF(ISBLANK(A334),"",VLOOKUP(A334,DOI_URL!$B$1:$C$74,2,FALSE()))</f>
        <v/>
      </c>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c r="AA334" s="22"/>
      <c r="AB334" s="22"/>
      <c r="AC334" s="22"/>
      <c r="AD334" s="22"/>
      <c r="AE334" s="22"/>
    </row>
    <row r="335">
      <c r="A335" s="22"/>
      <c r="B335" s="22" t="str">
        <f>IF(ISBLANK(A335),"",VLOOKUP(A335,DOI_URL!$B$1:$C$74,2,FALSE()))</f>
        <v/>
      </c>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c r="AA335" s="22"/>
      <c r="AB335" s="22"/>
      <c r="AC335" s="22"/>
      <c r="AD335" s="22"/>
      <c r="AE335" s="22"/>
    </row>
    <row r="336">
      <c r="A336" s="22"/>
      <c r="B336" s="22" t="str">
        <f>IF(ISBLANK(A336),"",VLOOKUP(A336,DOI_URL!$B$1:$C$74,2,FALSE()))</f>
        <v/>
      </c>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c r="AA336" s="22"/>
      <c r="AB336" s="22"/>
      <c r="AC336" s="22"/>
      <c r="AD336" s="22"/>
      <c r="AE336" s="22"/>
    </row>
    <row r="337">
      <c r="A337" s="22"/>
      <c r="B337" s="22" t="str">
        <f>IF(ISBLANK(A337),"",VLOOKUP(A337,DOI_URL!$B$1:$C$74,2,FALSE()))</f>
        <v/>
      </c>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c r="AA337" s="22"/>
      <c r="AB337" s="22"/>
      <c r="AC337" s="22"/>
      <c r="AD337" s="22"/>
      <c r="AE337" s="22"/>
    </row>
    <row r="338">
      <c r="A338" s="22"/>
      <c r="B338" s="22" t="str">
        <f>IF(ISBLANK(A338),"",VLOOKUP(A338,DOI_URL!$B$1:$C$74,2,FALSE()))</f>
        <v/>
      </c>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c r="AA338" s="22"/>
      <c r="AB338" s="22"/>
      <c r="AC338" s="22"/>
      <c r="AD338" s="22"/>
      <c r="AE338" s="22"/>
    </row>
    <row r="339">
      <c r="A339" s="22"/>
      <c r="B339" s="22" t="str">
        <f>IF(ISBLANK(A339),"",VLOOKUP(A339,DOI_URL!$B$1:$C$74,2,FALSE()))</f>
        <v/>
      </c>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c r="AA339" s="22"/>
      <c r="AB339" s="22"/>
      <c r="AC339" s="22"/>
      <c r="AD339" s="22"/>
      <c r="AE339" s="22"/>
    </row>
    <row r="340">
      <c r="A340" s="22"/>
      <c r="B340" s="22" t="str">
        <f>IF(ISBLANK(A340),"",VLOOKUP(A340,DOI_URL!$B$1:$C$74,2,FALSE()))</f>
        <v/>
      </c>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c r="AA340" s="22"/>
      <c r="AB340" s="22"/>
      <c r="AC340" s="22"/>
      <c r="AD340" s="22"/>
      <c r="AE340" s="22"/>
    </row>
    <row r="341">
      <c r="A341" s="22"/>
      <c r="B341" s="22" t="str">
        <f>IF(ISBLANK(A341),"",VLOOKUP(A341,DOI_URL!$B$1:$C$74,2,FALSE()))</f>
        <v/>
      </c>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c r="AA341" s="22"/>
      <c r="AB341" s="22"/>
      <c r="AC341" s="22"/>
      <c r="AD341" s="22"/>
      <c r="AE341" s="22"/>
    </row>
    <row r="342">
      <c r="A342" s="22"/>
      <c r="B342" s="22" t="str">
        <f>IF(ISBLANK(A342),"",VLOOKUP(A342,DOI_URL!$B$1:$C$74,2,FALSE()))</f>
        <v/>
      </c>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c r="AA342" s="22"/>
      <c r="AB342" s="22"/>
      <c r="AC342" s="22"/>
      <c r="AD342" s="22"/>
      <c r="AE342" s="22"/>
    </row>
    <row r="343">
      <c r="A343" s="22"/>
      <c r="B343" s="22" t="str">
        <f>IF(ISBLANK(A343),"",VLOOKUP(A343,DOI_URL!$B$1:$C$74,2,FALSE()))</f>
        <v/>
      </c>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c r="AA343" s="22"/>
      <c r="AB343" s="22"/>
      <c r="AC343" s="22"/>
      <c r="AD343" s="22"/>
      <c r="AE343" s="22"/>
    </row>
    <row r="344">
      <c r="A344" s="22"/>
      <c r="B344" s="22" t="str">
        <f>IF(ISBLANK(A344),"",VLOOKUP(A344,DOI_URL!$B$1:$C$74,2,FALSE()))</f>
        <v/>
      </c>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c r="AA344" s="22"/>
      <c r="AB344" s="22"/>
      <c r="AC344" s="22"/>
      <c r="AD344" s="22"/>
      <c r="AE344" s="22"/>
    </row>
    <row r="345">
      <c r="A345" s="22"/>
      <c r="B345" s="22" t="str">
        <f>IF(ISBLANK(A345),"",VLOOKUP(A345,DOI_URL!$B$1:$C$74,2,FALSE()))</f>
        <v/>
      </c>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c r="AA345" s="22"/>
      <c r="AB345" s="22"/>
      <c r="AC345" s="22"/>
      <c r="AD345" s="22"/>
      <c r="AE345" s="22"/>
    </row>
    <row r="346">
      <c r="A346" s="22"/>
      <c r="B346" s="22" t="str">
        <f>IF(ISBLANK(A346),"",VLOOKUP(A346,DOI_URL!$B$1:$C$74,2,FALSE()))</f>
        <v/>
      </c>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c r="AA346" s="22"/>
      <c r="AB346" s="22"/>
      <c r="AC346" s="22"/>
      <c r="AD346" s="22"/>
      <c r="AE346" s="22"/>
    </row>
    <row r="347">
      <c r="A347" s="22"/>
      <c r="B347" s="22" t="str">
        <f>IF(ISBLANK(A347),"",VLOOKUP(A347,DOI_URL!$B$1:$C$74,2,FALSE()))</f>
        <v/>
      </c>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c r="AA347" s="22"/>
      <c r="AB347" s="22"/>
      <c r="AC347" s="22"/>
      <c r="AD347" s="22"/>
      <c r="AE347" s="22"/>
    </row>
    <row r="348">
      <c r="A348" s="22"/>
      <c r="B348" s="22" t="str">
        <f>IF(ISBLANK(A348),"",VLOOKUP(A348,DOI_URL!$B$1:$C$74,2,FALSE()))</f>
        <v/>
      </c>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c r="AA348" s="22"/>
      <c r="AB348" s="22"/>
      <c r="AC348" s="22"/>
      <c r="AD348" s="22"/>
      <c r="AE348" s="22"/>
    </row>
    <row r="349">
      <c r="A349" s="22"/>
      <c r="B349" s="22" t="str">
        <f>IF(ISBLANK(A349),"",VLOOKUP(A349,DOI_URL!$B$1:$C$74,2,FALSE()))</f>
        <v/>
      </c>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c r="AA349" s="22"/>
      <c r="AB349" s="22"/>
      <c r="AC349" s="22"/>
      <c r="AD349" s="22"/>
      <c r="AE349" s="22"/>
    </row>
    <row r="350">
      <c r="A350" s="22"/>
      <c r="B350" s="22" t="str">
        <f>IF(ISBLANK(A350),"",VLOOKUP(A350,DOI_URL!$B$1:$C$74,2,FALSE()))</f>
        <v/>
      </c>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row>
    <row r="351">
      <c r="A351" s="22"/>
      <c r="B351" s="22" t="str">
        <f>IF(ISBLANK(A351),"",VLOOKUP(A351,DOI_URL!$B$1:$C$74,2,FALSE()))</f>
        <v/>
      </c>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c r="AA351" s="22"/>
      <c r="AB351" s="22"/>
      <c r="AC351" s="22"/>
      <c r="AD351" s="22"/>
      <c r="AE351" s="22"/>
    </row>
    <row r="352">
      <c r="A352" s="22"/>
      <c r="B352" s="22" t="str">
        <f>IF(ISBLANK(A352),"",VLOOKUP(A352,DOI_URL!$B$1:$C$74,2,FALSE()))</f>
        <v/>
      </c>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c r="AA352" s="22"/>
      <c r="AB352" s="22"/>
      <c r="AC352" s="22"/>
      <c r="AD352" s="22"/>
      <c r="AE352" s="22"/>
    </row>
    <row r="353">
      <c r="A353" s="22"/>
      <c r="B353" s="22" t="str">
        <f>IF(ISBLANK(A353),"",VLOOKUP(A353,DOI_URL!$B$1:$C$74,2,FALSE()))</f>
        <v/>
      </c>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c r="AA353" s="22"/>
      <c r="AB353" s="22"/>
      <c r="AC353" s="22"/>
      <c r="AD353" s="22"/>
      <c r="AE353" s="22"/>
    </row>
    <row r="354">
      <c r="A354" s="22"/>
      <c r="B354" s="22" t="str">
        <f>IF(ISBLANK(A354),"",VLOOKUP(A354,DOI_URL!$B$1:$C$74,2,FALSE()))</f>
        <v/>
      </c>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c r="AA354" s="22"/>
      <c r="AB354" s="22"/>
      <c r="AC354" s="22"/>
      <c r="AD354" s="22"/>
      <c r="AE354" s="22"/>
    </row>
    <row r="355">
      <c r="A355" s="22"/>
      <c r="B355" s="22" t="str">
        <f>IF(ISBLANK(A355),"",VLOOKUP(A355,DOI_URL!$B$1:$C$74,2,FALSE()))</f>
        <v/>
      </c>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c r="AA355" s="22"/>
      <c r="AB355" s="22"/>
      <c r="AC355" s="22"/>
      <c r="AD355" s="22"/>
      <c r="AE355" s="22"/>
    </row>
    <row r="356">
      <c r="A356" s="22"/>
      <c r="B356" s="22" t="str">
        <f>IF(ISBLANK(A356),"",VLOOKUP(A356,DOI_URL!$B$1:$C$74,2,FALSE()))</f>
        <v/>
      </c>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c r="AA356" s="22"/>
      <c r="AB356" s="22"/>
      <c r="AC356" s="22"/>
      <c r="AD356" s="22"/>
      <c r="AE356" s="22"/>
    </row>
    <row r="357">
      <c r="A357" s="22"/>
      <c r="B357" s="22" t="str">
        <f>IF(ISBLANK(A357),"",VLOOKUP(A357,DOI_URL!$B$1:$C$74,2,FALSE()))</f>
        <v/>
      </c>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c r="AA357" s="22"/>
      <c r="AB357" s="22"/>
      <c r="AC357" s="22"/>
      <c r="AD357" s="22"/>
      <c r="AE357" s="22"/>
    </row>
    <row r="358">
      <c r="A358" s="22"/>
      <c r="B358" s="22" t="str">
        <f>IF(ISBLANK(A358),"",VLOOKUP(A358,DOI_URL!$B$1:$C$74,2,FALSE()))</f>
        <v/>
      </c>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c r="AA358" s="22"/>
      <c r="AB358" s="22"/>
      <c r="AC358" s="22"/>
      <c r="AD358" s="22"/>
      <c r="AE358" s="22"/>
    </row>
    <row r="359">
      <c r="A359" s="22"/>
      <c r="B359" s="22" t="str">
        <f>IF(ISBLANK(A359),"",VLOOKUP(A359,DOI_URL!$B$1:$C$74,2,FALSE()))</f>
        <v/>
      </c>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c r="AA359" s="22"/>
      <c r="AB359" s="22"/>
      <c r="AC359" s="22"/>
      <c r="AD359" s="22"/>
      <c r="AE359" s="22"/>
    </row>
    <row r="360">
      <c r="A360" s="22"/>
      <c r="B360" s="22" t="str">
        <f>IF(ISBLANK(A360),"",VLOOKUP(A360,DOI_URL!$B$1:$C$74,2,FALSE()))</f>
        <v/>
      </c>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c r="AA360" s="22"/>
      <c r="AB360" s="22"/>
      <c r="AC360" s="22"/>
      <c r="AD360" s="22"/>
      <c r="AE360" s="22"/>
    </row>
    <row r="361">
      <c r="A361" s="22"/>
      <c r="B361" s="22" t="str">
        <f>IF(ISBLANK(A361),"",VLOOKUP(A361,DOI_URL!$B$1:$C$74,2,FALSE()))</f>
        <v/>
      </c>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c r="AA361" s="22"/>
      <c r="AB361" s="22"/>
      <c r="AC361" s="22"/>
      <c r="AD361" s="22"/>
      <c r="AE361" s="22"/>
    </row>
    <row r="362">
      <c r="A362" s="22"/>
      <c r="B362" s="22" t="str">
        <f>IF(ISBLANK(A362),"",VLOOKUP(A362,DOI_URL!$B$1:$C$74,2,FALSE()))</f>
        <v/>
      </c>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c r="AA362" s="22"/>
      <c r="AB362" s="22"/>
      <c r="AC362" s="22"/>
      <c r="AD362" s="22"/>
      <c r="AE362" s="22"/>
    </row>
    <row r="363">
      <c r="A363" s="22"/>
      <c r="B363" s="22" t="str">
        <f>IF(ISBLANK(A363),"",VLOOKUP(A363,DOI_URL!$B$1:$C$74,2,FALSE()))</f>
        <v/>
      </c>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c r="AA363" s="22"/>
      <c r="AB363" s="22"/>
      <c r="AC363" s="22"/>
      <c r="AD363" s="22"/>
      <c r="AE363" s="22"/>
    </row>
    <row r="364">
      <c r="A364" s="22"/>
      <c r="B364" s="22" t="str">
        <f>IF(ISBLANK(A364),"",VLOOKUP(A364,DOI_URL!$B$1:$C$74,2,FALSE()))</f>
        <v/>
      </c>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c r="AA364" s="22"/>
      <c r="AB364" s="22"/>
      <c r="AC364" s="22"/>
      <c r="AD364" s="22"/>
      <c r="AE364" s="22"/>
    </row>
    <row r="365">
      <c r="A365" s="22"/>
      <c r="B365" s="22" t="str">
        <f>IF(ISBLANK(A365),"",VLOOKUP(A365,DOI_URL!$B$1:$C$74,2,FALSE()))</f>
        <v/>
      </c>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c r="AA365" s="22"/>
      <c r="AB365" s="22"/>
      <c r="AC365" s="22"/>
      <c r="AD365" s="22"/>
      <c r="AE365" s="22"/>
    </row>
    <row r="366">
      <c r="A366" s="22"/>
      <c r="B366" s="22" t="str">
        <f>IF(ISBLANK(A366),"",VLOOKUP(A366,DOI_URL!$B$1:$C$74,2,FALSE()))</f>
        <v/>
      </c>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c r="AA366" s="22"/>
      <c r="AB366" s="22"/>
      <c r="AC366" s="22"/>
      <c r="AD366" s="22"/>
      <c r="AE366" s="22"/>
    </row>
    <row r="367">
      <c r="A367" s="22"/>
      <c r="B367" s="22" t="str">
        <f>IF(ISBLANK(A367),"",VLOOKUP(A367,DOI_URL!$B$1:$C$74,2,FALSE()))</f>
        <v/>
      </c>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c r="AA367" s="22"/>
      <c r="AB367" s="22"/>
      <c r="AC367" s="22"/>
      <c r="AD367" s="22"/>
      <c r="AE367" s="22"/>
    </row>
    <row r="368">
      <c r="A368" s="22"/>
      <c r="B368" s="22" t="str">
        <f>IF(ISBLANK(A368),"",VLOOKUP(A368,DOI_URL!$B$1:$C$74,2,FALSE()))</f>
        <v/>
      </c>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c r="AA368" s="22"/>
      <c r="AB368" s="22"/>
      <c r="AC368" s="22"/>
      <c r="AD368" s="22"/>
      <c r="AE368" s="22"/>
    </row>
    <row r="369">
      <c r="A369" s="22"/>
      <c r="B369" s="22" t="str">
        <f>IF(ISBLANK(A369),"",VLOOKUP(A369,DOI_URL!$B$1:$C$74,2,FALSE()))</f>
        <v/>
      </c>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c r="AA369" s="22"/>
      <c r="AB369" s="22"/>
      <c r="AC369" s="22"/>
      <c r="AD369" s="22"/>
      <c r="AE369" s="22"/>
    </row>
    <row r="370">
      <c r="A370" s="22"/>
      <c r="B370" s="22" t="str">
        <f>IF(ISBLANK(A370),"",VLOOKUP(A370,DOI_URL!$B$1:$C$74,2,FALSE()))</f>
        <v/>
      </c>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c r="AA370" s="22"/>
      <c r="AB370" s="22"/>
      <c r="AC370" s="22"/>
      <c r="AD370" s="22"/>
      <c r="AE370" s="22"/>
    </row>
    <row r="371">
      <c r="A371" s="22"/>
      <c r="B371" s="22" t="str">
        <f>IF(ISBLANK(A371),"",VLOOKUP(A371,DOI_URL!$B$1:$C$74,2,FALSE()))</f>
        <v/>
      </c>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c r="AA371" s="22"/>
      <c r="AB371" s="22"/>
      <c r="AC371" s="22"/>
      <c r="AD371" s="22"/>
      <c r="AE371" s="22"/>
    </row>
    <row r="372">
      <c r="A372" s="22"/>
      <c r="B372" s="22" t="str">
        <f>IF(ISBLANK(A372),"",VLOOKUP(A372,DOI_URL!$B$1:$C$74,2,FALSE()))</f>
        <v/>
      </c>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c r="AA372" s="22"/>
      <c r="AB372" s="22"/>
      <c r="AC372" s="22"/>
      <c r="AD372" s="22"/>
      <c r="AE372" s="22"/>
    </row>
    <row r="373">
      <c r="A373" s="22"/>
      <c r="B373" s="22" t="str">
        <f>IF(ISBLANK(A373),"",VLOOKUP(A373,DOI_URL!$B$1:$C$74,2,FALSE()))</f>
        <v/>
      </c>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c r="AA373" s="22"/>
      <c r="AB373" s="22"/>
      <c r="AC373" s="22"/>
      <c r="AD373" s="22"/>
      <c r="AE373" s="22"/>
    </row>
    <row r="374">
      <c r="A374" s="22"/>
      <c r="B374" s="22" t="str">
        <f>IF(ISBLANK(A374),"",VLOOKUP(A374,DOI_URL!$B$1:$C$74,2,FALSE()))</f>
        <v/>
      </c>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c r="AA374" s="22"/>
      <c r="AB374" s="22"/>
      <c r="AC374" s="22"/>
      <c r="AD374" s="22"/>
      <c r="AE374" s="22"/>
    </row>
    <row r="375">
      <c r="A375" s="22"/>
      <c r="B375" s="22" t="str">
        <f>IF(ISBLANK(A375),"",VLOOKUP(A375,DOI_URL!$B$1:$C$74,2,FALSE()))</f>
        <v/>
      </c>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row>
    <row r="376">
      <c r="A376" s="22"/>
      <c r="B376" s="22" t="str">
        <f>IF(ISBLANK(A376),"",VLOOKUP(A376,DOI_URL!$B$1:$C$74,2,FALSE()))</f>
        <v/>
      </c>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c r="AA376" s="22"/>
      <c r="AB376" s="22"/>
      <c r="AC376" s="22"/>
      <c r="AD376" s="22"/>
      <c r="AE376" s="22"/>
    </row>
    <row r="377">
      <c r="A377" s="22"/>
      <c r="B377" s="22" t="str">
        <f>IF(ISBLANK(A377),"",VLOOKUP(A377,DOI_URL!$B$1:$C$74,2,FALSE()))</f>
        <v/>
      </c>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c r="AA377" s="22"/>
      <c r="AB377" s="22"/>
      <c r="AC377" s="22"/>
      <c r="AD377" s="22"/>
      <c r="AE377" s="22"/>
    </row>
    <row r="378">
      <c r="A378" s="22"/>
      <c r="B378" s="22" t="str">
        <f>IF(ISBLANK(A378),"",VLOOKUP(A378,DOI_URL!$B$1:$C$74,2,FALSE()))</f>
        <v/>
      </c>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c r="AA378" s="22"/>
      <c r="AB378" s="22"/>
      <c r="AC378" s="22"/>
      <c r="AD378" s="22"/>
      <c r="AE378" s="22"/>
    </row>
    <row r="379">
      <c r="A379" s="22"/>
      <c r="B379" s="22" t="str">
        <f>IF(ISBLANK(A379),"",VLOOKUP(A379,DOI_URL!$B$1:$C$74,2,FALSE()))</f>
        <v/>
      </c>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c r="AA379" s="22"/>
      <c r="AB379" s="22"/>
      <c r="AC379" s="22"/>
      <c r="AD379" s="22"/>
      <c r="AE379" s="22"/>
    </row>
    <row r="380">
      <c r="A380" s="22"/>
      <c r="B380" s="22" t="str">
        <f>IF(ISBLANK(A380),"",VLOOKUP(A380,DOI_URL!$B$1:$C$74,2,FALSE()))</f>
        <v/>
      </c>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c r="AA380" s="22"/>
      <c r="AB380" s="22"/>
      <c r="AC380" s="22"/>
      <c r="AD380" s="22"/>
      <c r="AE380" s="22"/>
    </row>
    <row r="381">
      <c r="A381" s="22"/>
      <c r="B381" s="22" t="str">
        <f>IF(ISBLANK(A381),"",VLOOKUP(A381,DOI_URL!$B$1:$C$74,2,FALSE()))</f>
        <v/>
      </c>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c r="AA381" s="22"/>
      <c r="AB381" s="22"/>
      <c r="AC381" s="22"/>
      <c r="AD381" s="22"/>
      <c r="AE381" s="22"/>
    </row>
    <row r="382">
      <c r="A382" s="22"/>
      <c r="B382" s="22" t="str">
        <f>IF(ISBLANK(A382),"",VLOOKUP(A382,DOI_URL!$B$1:$C$74,2,FALSE()))</f>
        <v/>
      </c>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c r="AA382" s="22"/>
      <c r="AB382" s="22"/>
      <c r="AC382" s="22"/>
      <c r="AD382" s="22"/>
      <c r="AE382" s="22"/>
    </row>
    <row r="383">
      <c r="A383" s="22"/>
      <c r="B383" s="22" t="str">
        <f>IF(ISBLANK(A383),"",VLOOKUP(A383,DOI_URL!$B$1:$C$74,2,FALSE()))</f>
        <v/>
      </c>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c r="AA383" s="22"/>
      <c r="AB383" s="22"/>
      <c r="AC383" s="22"/>
      <c r="AD383" s="22"/>
      <c r="AE383" s="22"/>
    </row>
    <row r="384">
      <c r="A384" s="22"/>
      <c r="B384" s="22" t="str">
        <f>IF(ISBLANK(A384),"",VLOOKUP(A384,DOI_URL!$B$1:$C$74,2,FALSE()))</f>
        <v/>
      </c>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c r="AA384" s="22"/>
      <c r="AB384" s="22"/>
      <c r="AC384" s="22"/>
      <c r="AD384" s="22"/>
      <c r="AE384" s="22"/>
    </row>
    <row r="385">
      <c r="A385" s="22"/>
      <c r="B385" s="22" t="str">
        <f>IF(ISBLANK(A385),"",VLOOKUP(A385,DOI_URL!$B$1:$C$74,2,FALSE()))</f>
        <v/>
      </c>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c r="AA385" s="22"/>
      <c r="AB385" s="22"/>
      <c r="AC385" s="22"/>
      <c r="AD385" s="22"/>
      <c r="AE385" s="22"/>
    </row>
    <row r="386">
      <c r="A386" s="22"/>
      <c r="B386" s="22" t="str">
        <f>IF(ISBLANK(A386),"",VLOOKUP(A386,DOI_URL!$B$1:$C$74,2,FALSE()))</f>
        <v/>
      </c>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c r="AA386" s="22"/>
      <c r="AB386" s="22"/>
      <c r="AC386" s="22"/>
      <c r="AD386" s="22"/>
      <c r="AE386" s="22"/>
    </row>
    <row r="387">
      <c r="A387" s="22"/>
      <c r="B387" s="22" t="str">
        <f>IF(ISBLANK(A387),"",VLOOKUP(A387,DOI_URL!$B$1:$C$74,2,FALSE()))</f>
        <v/>
      </c>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c r="AA387" s="22"/>
      <c r="AB387" s="22"/>
      <c r="AC387" s="22"/>
      <c r="AD387" s="22"/>
      <c r="AE387" s="22"/>
    </row>
    <row r="388">
      <c r="A388" s="22"/>
      <c r="B388" s="22" t="str">
        <f>IF(ISBLANK(A388),"",VLOOKUP(A388,DOI_URL!$B$1:$C$74,2,FALSE()))</f>
        <v/>
      </c>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c r="AA388" s="22"/>
      <c r="AB388" s="22"/>
      <c r="AC388" s="22"/>
      <c r="AD388" s="22"/>
      <c r="AE388" s="22"/>
    </row>
    <row r="389">
      <c r="A389" s="22"/>
      <c r="B389" s="22" t="str">
        <f>IF(ISBLANK(A389),"",VLOOKUP(A389,DOI_URL!$B$1:$C$74,2,FALSE()))</f>
        <v/>
      </c>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c r="AA389" s="22"/>
      <c r="AB389" s="22"/>
      <c r="AC389" s="22"/>
      <c r="AD389" s="22"/>
      <c r="AE389" s="22"/>
    </row>
    <row r="390">
      <c r="A390" s="22"/>
      <c r="B390" s="22" t="str">
        <f>IF(ISBLANK(A390),"",VLOOKUP(A390,DOI_URL!$B$1:$C$74,2,FALSE()))</f>
        <v/>
      </c>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c r="AA390" s="22"/>
      <c r="AB390" s="22"/>
      <c r="AC390" s="22"/>
      <c r="AD390" s="22"/>
      <c r="AE390" s="22"/>
    </row>
    <row r="391">
      <c r="A391" s="22"/>
      <c r="B391" s="22" t="str">
        <f>IF(ISBLANK(A391),"",VLOOKUP(A391,DOI_URL!$B$1:$C$74,2,FALSE()))</f>
        <v/>
      </c>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c r="AA391" s="22"/>
      <c r="AB391" s="22"/>
      <c r="AC391" s="22"/>
      <c r="AD391" s="22"/>
      <c r="AE391" s="22"/>
    </row>
    <row r="392">
      <c r="A392" s="22"/>
      <c r="B392" s="22" t="str">
        <f>IF(ISBLANK(A392),"",VLOOKUP(A392,DOI_URL!$B$1:$C$74,2,FALSE()))</f>
        <v/>
      </c>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c r="AA392" s="22"/>
      <c r="AB392" s="22"/>
      <c r="AC392" s="22"/>
      <c r="AD392" s="22"/>
      <c r="AE392" s="22"/>
    </row>
    <row r="393">
      <c r="A393" s="22"/>
      <c r="B393" s="22" t="str">
        <f>IF(ISBLANK(A393),"",VLOOKUP(A393,DOI_URL!$B$1:$C$74,2,FALSE()))</f>
        <v/>
      </c>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c r="AA393" s="22"/>
      <c r="AB393" s="22"/>
      <c r="AC393" s="22"/>
      <c r="AD393" s="22"/>
      <c r="AE393" s="22"/>
    </row>
    <row r="394">
      <c r="A394" s="22"/>
      <c r="B394" s="22" t="str">
        <f>IF(ISBLANK(A394),"",VLOOKUP(A394,DOI_URL!$B$1:$C$74,2,FALSE()))</f>
        <v/>
      </c>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c r="AA394" s="22"/>
      <c r="AB394" s="22"/>
      <c r="AC394" s="22"/>
      <c r="AD394" s="22"/>
      <c r="AE394" s="22"/>
    </row>
    <row r="395">
      <c r="A395" s="22"/>
      <c r="B395" s="22" t="str">
        <f>IF(ISBLANK(A395),"",VLOOKUP(A395,DOI_URL!$B$1:$C$74,2,FALSE()))</f>
        <v/>
      </c>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c r="AA395" s="22"/>
      <c r="AB395" s="22"/>
      <c r="AC395" s="22"/>
      <c r="AD395" s="22"/>
      <c r="AE395" s="22"/>
    </row>
    <row r="396">
      <c r="A396" s="22"/>
      <c r="B396" s="22" t="str">
        <f>IF(ISBLANK(A396),"",VLOOKUP(A396,DOI_URL!$B$1:$C$74,2,FALSE()))</f>
        <v/>
      </c>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c r="AA396" s="22"/>
      <c r="AB396" s="22"/>
      <c r="AC396" s="22"/>
      <c r="AD396" s="22"/>
      <c r="AE396" s="22"/>
    </row>
    <row r="397">
      <c r="A397" s="22"/>
      <c r="B397" s="22" t="str">
        <f>IF(ISBLANK(A397),"",VLOOKUP(A397,DOI_URL!$B$1:$C$74,2,FALSE()))</f>
        <v/>
      </c>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c r="AA397" s="22"/>
      <c r="AB397" s="22"/>
      <c r="AC397" s="22"/>
      <c r="AD397" s="22"/>
      <c r="AE397" s="22"/>
    </row>
    <row r="398">
      <c r="A398" s="22"/>
      <c r="B398" s="22" t="str">
        <f>IF(ISBLANK(A398),"",VLOOKUP(A398,DOI_URL!$B$1:$C$74,2,FALSE()))</f>
        <v/>
      </c>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c r="AA398" s="22"/>
      <c r="AB398" s="22"/>
      <c r="AC398" s="22"/>
      <c r="AD398" s="22"/>
      <c r="AE398" s="22"/>
    </row>
    <row r="399">
      <c r="A399" s="22"/>
      <c r="B399" s="22" t="str">
        <f>IF(ISBLANK(A399),"",VLOOKUP(A399,DOI_URL!$B$1:$C$74,2,FALSE()))</f>
        <v/>
      </c>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c r="AA399" s="22"/>
      <c r="AB399" s="22"/>
      <c r="AC399" s="22"/>
      <c r="AD399" s="22"/>
      <c r="AE399" s="22"/>
    </row>
    <row r="400">
      <c r="A400" s="22"/>
      <c r="B400" s="22" t="str">
        <f>IF(ISBLANK(A400),"",VLOOKUP(A400,DOI_URL!$B$1:$C$74,2,FALSE()))</f>
        <v/>
      </c>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row>
    <row r="401">
      <c r="A401" s="22"/>
      <c r="B401" s="22" t="str">
        <f>IF(ISBLANK(A401),"",VLOOKUP(A401,DOI_URL!$B$1:$C$74,2,FALSE()))</f>
        <v/>
      </c>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c r="AA401" s="22"/>
      <c r="AB401" s="22"/>
      <c r="AC401" s="22"/>
      <c r="AD401" s="22"/>
      <c r="AE401" s="22"/>
    </row>
    <row r="402">
      <c r="A402" s="22"/>
      <c r="B402" s="22" t="str">
        <f>IF(ISBLANK(A402),"",VLOOKUP(A402,DOI_URL!$B$1:$C$74,2,FALSE()))</f>
        <v/>
      </c>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c r="AA402" s="22"/>
      <c r="AB402" s="22"/>
      <c r="AC402" s="22"/>
      <c r="AD402" s="22"/>
      <c r="AE402" s="22"/>
    </row>
    <row r="403">
      <c r="A403" s="22"/>
      <c r="B403" s="22" t="str">
        <f>IF(ISBLANK(A403),"",VLOOKUP(A403,DOI_URL!$B$1:$C$74,2,FALSE()))</f>
        <v/>
      </c>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c r="AA403" s="22"/>
      <c r="AB403" s="22"/>
      <c r="AC403" s="22"/>
      <c r="AD403" s="22"/>
      <c r="AE403" s="22"/>
    </row>
    <row r="404">
      <c r="A404" s="22"/>
      <c r="B404" s="22" t="str">
        <f>IF(ISBLANK(A404),"",VLOOKUP(A404,DOI_URL!$B$1:$C$74,2,FALSE()))</f>
        <v/>
      </c>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c r="AA404" s="22"/>
      <c r="AB404" s="22"/>
      <c r="AC404" s="22"/>
      <c r="AD404" s="22"/>
      <c r="AE404" s="22"/>
    </row>
    <row r="405">
      <c r="A405" s="22"/>
      <c r="B405" s="22" t="str">
        <f>IF(ISBLANK(A405),"",VLOOKUP(A405,DOI_URL!$B$1:$C$74,2,FALSE()))</f>
        <v/>
      </c>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c r="AA405" s="22"/>
      <c r="AB405" s="22"/>
      <c r="AC405" s="22"/>
      <c r="AD405" s="22"/>
      <c r="AE405" s="22"/>
    </row>
    <row r="406">
      <c r="A406" s="22"/>
      <c r="B406" s="22" t="str">
        <f>IF(ISBLANK(A406),"",VLOOKUP(A406,DOI_URL!$B$1:$C$74,2,FALSE()))</f>
        <v/>
      </c>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c r="AA406" s="22"/>
      <c r="AB406" s="22"/>
      <c r="AC406" s="22"/>
      <c r="AD406" s="22"/>
      <c r="AE406" s="22"/>
    </row>
    <row r="407">
      <c r="A407" s="22"/>
      <c r="B407" s="22" t="str">
        <f>IF(ISBLANK(A407),"",VLOOKUP(A407,DOI_URL!$B$1:$C$74,2,FALSE()))</f>
        <v/>
      </c>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c r="AA407" s="22"/>
      <c r="AB407" s="22"/>
      <c r="AC407" s="22"/>
      <c r="AD407" s="22"/>
      <c r="AE407" s="22"/>
    </row>
    <row r="408">
      <c r="A408" s="22"/>
      <c r="B408" s="22" t="str">
        <f>IF(ISBLANK(A408),"",VLOOKUP(A408,DOI_URL!$B$1:$C$74,2,FALSE()))</f>
        <v/>
      </c>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c r="AA408" s="22"/>
      <c r="AB408" s="22"/>
      <c r="AC408" s="22"/>
      <c r="AD408" s="22"/>
      <c r="AE408" s="22"/>
    </row>
    <row r="409">
      <c r="A409" s="22"/>
      <c r="B409" s="22" t="str">
        <f>IF(ISBLANK(A409),"",VLOOKUP(A409,DOI_URL!$B$1:$C$74,2,FALSE()))</f>
        <v/>
      </c>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c r="AA409" s="22"/>
      <c r="AB409" s="22"/>
      <c r="AC409" s="22"/>
      <c r="AD409" s="22"/>
      <c r="AE409" s="22"/>
    </row>
    <row r="410">
      <c r="A410" s="22"/>
      <c r="B410" s="22" t="str">
        <f>IF(ISBLANK(A410),"",VLOOKUP(A410,DOI_URL!$B$1:$C$74,2,FALSE()))</f>
        <v/>
      </c>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c r="AA410" s="22"/>
      <c r="AB410" s="22"/>
      <c r="AC410" s="22"/>
      <c r="AD410" s="22"/>
      <c r="AE410" s="22"/>
    </row>
    <row r="411">
      <c r="A411" s="22"/>
      <c r="B411" s="22" t="str">
        <f>IF(ISBLANK(A411),"",VLOOKUP(A411,DOI_URL!$B$1:$C$74,2,FALSE()))</f>
        <v/>
      </c>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c r="AA411" s="22"/>
      <c r="AB411" s="22"/>
      <c r="AC411" s="22"/>
      <c r="AD411" s="22"/>
      <c r="AE411" s="22"/>
    </row>
    <row r="412">
      <c r="A412" s="22"/>
      <c r="B412" s="22" t="str">
        <f>IF(ISBLANK(A412),"",VLOOKUP(A412,DOI_URL!$B$1:$C$74,2,FALSE()))</f>
        <v/>
      </c>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c r="AA412" s="22"/>
      <c r="AB412" s="22"/>
      <c r="AC412" s="22"/>
      <c r="AD412" s="22"/>
      <c r="AE412" s="22"/>
    </row>
    <row r="413">
      <c r="A413" s="22"/>
      <c r="B413" s="22" t="str">
        <f>IF(ISBLANK(A413),"",VLOOKUP(A413,DOI_URL!$B$1:$C$74,2,FALSE()))</f>
        <v/>
      </c>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c r="AA413" s="22"/>
      <c r="AB413" s="22"/>
      <c r="AC413" s="22"/>
      <c r="AD413" s="22"/>
      <c r="AE413" s="22"/>
    </row>
    <row r="414">
      <c r="A414" s="22"/>
      <c r="B414" s="22" t="str">
        <f>IF(ISBLANK(A414),"",VLOOKUP(A414,DOI_URL!$B$1:$C$74,2,FALSE()))</f>
        <v/>
      </c>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c r="AA414" s="22"/>
      <c r="AB414" s="22"/>
      <c r="AC414" s="22"/>
      <c r="AD414" s="22"/>
      <c r="AE414" s="22"/>
    </row>
    <row r="415">
      <c r="A415" s="22"/>
      <c r="B415" s="22" t="str">
        <f>IF(ISBLANK(A415),"",VLOOKUP(A415,DOI_URL!$B$1:$C$74,2,FALSE()))</f>
        <v/>
      </c>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c r="AA415" s="22"/>
      <c r="AB415" s="22"/>
      <c r="AC415" s="22"/>
      <c r="AD415" s="22"/>
      <c r="AE415" s="22"/>
    </row>
    <row r="416">
      <c r="A416" s="22"/>
      <c r="B416" s="22" t="str">
        <f>IF(ISBLANK(A416),"",VLOOKUP(A416,DOI_URL!$B$1:$C$74,2,FALSE()))</f>
        <v/>
      </c>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c r="AA416" s="22"/>
      <c r="AB416" s="22"/>
      <c r="AC416" s="22"/>
      <c r="AD416" s="22"/>
      <c r="AE416" s="22"/>
    </row>
    <row r="417">
      <c r="A417" s="22"/>
      <c r="B417" s="22" t="str">
        <f>IF(ISBLANK(A417),"",VLOOKUP(A417,DOI_URL!$B$1:$C$74,2,FALSE()))</f>
        <v/>
      </c>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c r="AA417" s="22"/>
      <c r="AB417" s="22"/>
      <c r="AC417" s="22"/>
      <c r="AD417" s="22"/>
      <c r="AE417" s="22"/>
    </row>
    <row r="418">
      <c r="A418" s="22"/>
      <c r="B418" s="22" t="str">
        <f>IF(ISBLANK(A418),"",VLOOKUP(A418,DOI_URL!$B$1:$C$74,2,FALSE()))</f>
        <v/>
      </c>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c r="AA418" s="22"/>
      <c r="AB418" s="22"/>
      <c r="AC418" s="22"/>
      <c r="AD418" s="22"/>
      <c r="AE418" s="22"/>
    </row>
    <row r="419">
      <c r="A419" s="22"/>
      <c r="B419" s="22" t="str">
        <f>IF(ISBLANK(A419),"",VLOOKUP(A419,DOI_URL!$B$1:$C$74,2,FALSE()))</f>
        <v/>
      </c>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c r="AA419" s="22"/>
      <c r="AB419" s="22"/>
      <c r="AC419" s="22"/>
      <c r="AD419" s="22"/>
      <c r="AE419" s="22"/>
    </row>
    <row r="420">
      <c r="A420" s="22"/>
      <c r="B420" s="22" t="str">
        <f>IF(ISBLANK(A420),"",VLOOKUP(A420,DOI_URL!$B$1:$C$74,2,FALSE()))</f>
        <v/>
      </c>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c r="AA420" s="22"/>
      <c r="AB420" s="22"/>
      <c r="AC420" s="22"/>
      <c r="AD420" s="22"/>
      <c r="AE420" s="22"/>
    </row>
    <row r="421">
      <c r="A421" s="22"/>
      <c r="B421" s="22" t="str">
        <f>IF(ISBLANK(A421),"",VLOOKUP(A421,DOI_URL!$B$1:$C$74,2,FALSE()))</f>
        <v/>
      </c>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c r="AA421" s="22"/>
      <c r="AB421" s="22"/>
      <c r="AC421" s="22"/>
      <c r="AD421" s="22"/>
      <c r="AE421" s="22"/>
    </row>
    <row r="422">
      <c r="A422" s="22"/>
      <c r="B422" s="22" t="str">
        <f>IF(ISBLANK(A422),"",VLOOKUP(A422,DOI_URL!$B$1:$C$74,2,FALSE()))</f>
        <v/>
      </c>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c r="AA422" s="22"/>
      <c r="AB422" s="22"/>
      <c r="AC422" s="22"/>
      <c r="AD422" s="22"/>
      <c r="AE422" s="22"/>
    </row>
    <row r="423">
      <c r="A423" s="22"/>
      <c r="B423" s="22" t="str">
        <f>IF(ISBLANK(A423),"",VLOOKUP(A423,DOI_URL!$B$1:$C$74,2,FALSE()))</f>
        <v/>
      </c>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c r="AA423" s="22"/>
      <c r="AB423" s="22"/>
      <c r="AC423" s="22"/>
      <c r="AD423" s="22"/>
      <c r="AE423" s="22"/>
    </row>
    <row r="424">
      <c r="A424" s="22"/>
      <c r="B424" s="22" t="str">
        <f>IF(ISBLANK(A424),"",VLOOKUP(A424,DOI_URL!$B$1:$C$74,2,FALSE()))</f>
        <v/>
      </c>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c r="AA424" s="22"/>
      <c r="AB424" s="22"/>
      <c r="AC424" s="22"/>
      <c r="AD424" s="22"/>
      <c r="AE424" s="22"/>
    </row>
    <row r="425">
      <c r="A425" s="22"/>
      <c r="B425" s="22" t="str">
        <f>IF(ISBLANK(A425),"",VLOOKUP(A425,DOI_URL!$B$1:$C$74,2,FALSE()))</f>
        <v/>
      </c>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row>
    <row r="426">
      <c r="A426" s="22"/>
      <c r="B426" s="22" t="str">
        <f>IF(ISBLANK(A426),"",VLOOKUP(A426,DOI_URL!$B$1:$C$74,2,FALSE()))</f>
        <v/>
      </c>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c r="AA426" s="22"/>
      <c r="AB426" s="22"/>
      <c r="AC426" s="22"/>
      <c r="AD426" s="22"/>
      <c r="AE426" s="22"/>
    </row>
    <row r="427">
      <c r="A427" s="22"/>
      <c r="B427" s="22" t="str">
        <f>IF(ISBLANK(A427),"",VLOOKUP(A427,DOI_URL!$B$1:$C$74,2,FALSE()))</f>
        <v/>
      </c>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c r="AA427" s="22"/>
      <c r="AB427" s="22"/>
      <c r="AC427" s="22"/>
      <c r="AD427" s="22"/>
      <c r="AE427" s="22"/>
    </row>
    <row r="428">
      <c r="A428" s="22"/>
      <c r="B428" s="22" t="str">
        <f>IF(ISBLANK(A428),"",VLOOKUP(A428,DOI_URL!$B$1:$C$74,2,FALSE()))</f>
        <v/>
      </c>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c r="AA428" s="22"/>
      <c r="AB428" s="22"/>
      <c r="AC428" s="22"/>
      <c r="AD428" s="22"/>
      <c r="AE428" s="22"/>
    </row>
    <row r="429">
      <c r="A429" s="22"/>
      <c r="B429" s="22" t="str">
        <f>IF(ISBLANK(A429),"",VLOOKUP(A429,DOI_URL!$B$1:$C$74,2,FALSE()))</f>
        <v/>
      </c>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c r="AA429" s="22"/>
      <c r="AB429" s="22"/>
      <c r="AC429" s="22"/>
      <c r="AD429" s="22"/>
      <c r="AE429" s="22"/>
    </row>
    <row r="430">
      <c r="A430" s="22"/>
      <c r="B430" s="22" t="str">
        <f>IF(ISBLANK(A430),"",VLOOKUP(A430,DOI_URL!$B$1:$C$74,2,FALSE()))</f>
        <v/>
      </c>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c r="AA430" s="22"/>
      <c r="AB430" s="22"/>
      <c r="AC430" s="22"/>
      <c r="AD430" s="22"/>
      <c r="AE430" s="22"/>
    </row>
    <row r="431">
      <c r="A431" s="22"/>
      <c r="B431" s="22" t="str">
        <f>IF(ISBLANK(A431),"",VLOOKUP(A431,DOI_URL!$B$1:$C$74,2,FALSE()))</f>
        <v/>
      </c>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c r="AA431" s="22"/>
      <c r="AB431" s="22"/>
      <c r="AC431" s="22"/>
      <c r="AD431" s="22"/>
      <c r="AE431" s="22"/>
    </row>
    <row r="432">
      <c r="A432" s="22"/>
      <c r="B432" s="22" t="str">
        <f>IF(ISBLANK(A432),"",VLOOKUP(A432,DOI_URL!$B$1:$C$74,2,FALSE()))</f>
        <v/>
      </c>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c r="AA432" s="22"/>
      <c r="AB432" s="22"/>
      <c r="AC432" s="22"/>
      <c r="AD432" s="22"/>
      <c r="AE432" s="22"/>
    </row>
    <row r="433">
      <c r="A433" s="22"/>
      <c r="B433" s="22" t="str">
        <f>IF(ISBLANK(A433),"",VLOOKUP(A433,DOI_URL!$B$1:$C$74,2,FALSE()))</f>
        <v/>
      </c>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c r="AA433" s="22"/>
      <c r="AB433" s="22"/>
      <c r="AC433" s="22"/>
      <c r="AD433" s="22"/>
      <c r="AE433" s="22"/>
    </row>
    <row r="434">
      <c r="A434" s="22"/>
      <c r="B434" s="22" t="str">
        <f>IF(ISBLANK(A434),"",VLOOKUP(A434,DOI_URL!$B$1:$C$74,2,FALSE()))</f>
        <v/>
      </c>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c r="AA434" s="22"/>
      <c r="AB434" s="22"/>
      <c r="AC434" s="22"/>
      <c r="AD434" s="22"/>
      <c r="AE434" s="22"/>
    </row>
    <row r="435">
      <c r="A435" s="22"/>
      <c r="B435" s="22" t="str">
        <f>IF(ISBLANK(A435),"",VLOOKUP(A435,DOI_URL!$B$1:$C$74,2,FALSE()))</f>
        <v/>
      </c>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c r="AA435" s="22"/>
      <c r="AB435" s="22"/>
      <c r="AC435" s="22"/>
      <c r="AD435" s="22"/>
      <c r="AE435" s="22"/>
    </row>
    <row r="436">
      <c r="A436" s="22"/>
      <c r="B436" s="22" t="str">
        <f>IF(ISBLANK(A436),"",VLOOKUP(A436,DOI_URL!$B$1:$C$74,2,FALSE()))</f>
        <v/>
      </c>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c r="AA436" s="22"/>
      <c r="AB436" s="22"/>
      <c r="AC436" s="22"/>
      <c r="AD436" s="22"/>
      <c r="AE436" s="22"/>
    </row>
    <row r="437">
      <c r="A437" s="22"/>
      <c r="B437" s="22" t="str">
        <f>IF(ISBLANK(A437),"",VLOOKUP(A437,DOI_URL!$B$1:$C$74,2,FALSE()))</f>
        <v/>
      </c>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c r="AA437" s="22"/>
      <c r="AB437" s="22"/>
      <c r="AC437" s="22"/>
      <c r="AD437" s="22"/>
      <c r="AE437" s="22"/>
    </row>
    <row r="438">
      <c r="A438" s="22"/>
      <c r="B438" s="22" t="str">
        <f>IF(ISBLANK(A438),"",VLOOKUP(A438,DOI_URL!$B$1:$C$74,2,FALSE()))</f>
        <v/>
      </c>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c r="AA438" s="22"/>
      <c r="AB438" s="22"/>
      <c r="AC438" s="22"/>
      <c r="AD438" s="22"/>
      <c r="AE438" s="22"/>
    </row>
    <row r="439">
      <c r="A439" s="22"/>
      <c r="B439" s="22" t="str">
        <f>IF(ISBLANK(A439),"",VLOOKUP(A439,DOI_URL!$B$1:$C$74,2,FALSE()))</f>
        <v/>
      </c>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c r="AA439" s="22"/>
      <c r="AB439" s="22"/>
      <c r="AC439" s="22"/>
      <c r="AD439" s="22"/>
      <c r="AE439" s="22"/>
    </row>
    <row r="440">
      <c r="A440" s="22"/>
      <c r="B440" s="22" t="str">
        <f>IF(ISBLANK(A440),"",VLOOKUP(A440,DOI_URL!$B$1:$C$74,2,FALSE()))</f>
        <v/>
      </c>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c r="AA440" s="22"/>
      <c r="AB440" s="22"/>
      <c r="AC440" s="22"/>
      <c r="AD440" s="22"/>
      <c r="AE440" s="22"/>
    </row>
    <row r="441">
      <c r="A441" s="22"/>
      <c r="B441" s="22" t="str">
        <f>IF(ISBLANK(A441),"",VLOOKUP(A441,DOI_URL!$B$1:$C$74,2,FALSE()))</f>
        <v/>
      </c>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c r="AA441" s="22"/>
      <c r="AB441" s="22"/>
      <c r="AC441" s="22"/>
      <c r="AD441" s="22"/>
      <c r="AE441" s="22"/>
    </row>
    <row r="442">
      <c r="A442" s="22"/>
      <c r="B442" s="22" t="str">
        <f>IF(ISBLANK(A442),"",VLOOKUP(A442,DOI_URL!$B$1:$C$74,2,FALSE()))</f>
        <v/>
      </c>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c r="AA442" s="22"/>
      <c r="AB442" s="22"/>
      <c r="AC442" s="22"/>
      <c r="AD442" s="22"/>
      <c r="AE442" s="22"/>
    </row>
    <row r="443">
      <c r="A443" s="22"/>
      <c r="B443" s="22" t="str">
        <f>IF(ISBLANK(A443),"",VLOOKUP(A443,DOI_URL!$B$1:$C$74,2,FALSE()))</f>
        <v/>
      </c>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c r="AA443" s="22"/>
      <c r="AB443" s="22"/>
      <c r="AC443" s="22"/>
      <c r="AD443" s="22"/>
      <c r="AE443" s="22"/>
    </row>
    <row r="444">
      <c r="A444" s="22"/>
      <c r="B444" s="22" t="str">
        <f>IF(ISBLANK(A444),"",VLOOKUP(A444,DOI_URL!$B$1:$C$74,2,FALSE()))</f>
        <v/>
      </c>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c r="AA444" s="22"/>
      <c r="AB444" s="22"/>
      <c r="AC444" s="22"/>
      <c r="AD444" s="22"/>
      <c r="AE444" s="22"/>
    </row>
    <row r="445">
      <c r="A445" s="22"/>
      <c r="B445" s="22" t="str">
        <f>IF(ISBLANK(A445),"",VLOOKUP(A445,DOI_URL!$B$1:$C$74,2,FALSE()))</f>
        <v/>
      </c>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c r="AA445" s="22"/>
      <c r="AB445" s="22"/>
      <c r="AC445" s="22"/>
      <c r="AD445" s="22"/>
      <c r="AE445" s="22"/>
    </row>
    <row r="446">
      <c r="A446" s="22"/>
      <c r="B446" s="22" t="str">
        <f>IF(ISBLANK(A446),"",VLOOKUP(A446,DOI_URL!$B$1:$C$74,2,FALSE()))</f>
        <v/>
      </c>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c r="AA446" s="22"/>
      <c r="AB446" s="22"/>
      <c r="AC446" s="22"/>
      <c r="AD446" s="22"/>
      <c r="AE446" s="22"/>
    </row>
    <row r="447">
      <c r="A447" s="22"/>
      <c r="B447" s="22" t="str">
        <f>IF(ISBLANK(A447),"",VLOOKUP(A447,DOI_URL!$B$1:$C$74,2,FALSE()))</f>
        <v/>
      </c>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c r="AA447" s="22"/>
      <c r="AB447" s="22"/>
      <c r="AC447" s="22"/>
      <c r="AD447" s="22"/>
      <c r="AE447" s="22"/>
    </row>
    <row r="448">
      <c r="A448" s="22"/>
      <c r="B448" s="22" t="str">
        <f>IF(ISBLANK(A448),"",VLOOKUP(A448,DOI_URL!$B$1:$C$74,2,FALSE()))</f>
        <v/>
      </c>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c r="AA448" s="22"/>
      <c r="AB448" s="22"/>
      <c r="AC448" s="22"/>
      <c r="AD448" s="22"/>
      <c r="AE448" s="22"/>
    </row>
    <row r="449">
      <c r="A449" s="22"/>
      <c r="B449" s="22" t="str">
        <f>IF(ISBLANK(A449),"",VLOOKUP(A449,DOI_URL!$B$1:$C$74,2,FALSE()))</f>
        <v/>
      </c>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c r="AA449" s="22"/>
      <c r="AB449" s="22"/>
      <c r="AC449" s="22"/>
      <c r="AD449" s="22"/>
      <c r="AE449" s="22"/>
    </row>
    <row r="450">
      <c r="A450" s="22"/>
      <c r="B450" s="22" t="str">
        <f>IF(ISBLANK(A450),"",VLOOKUP(A450,DOI_URL!$B$1:$C$74,2,FALSE()))</f>
        <v/>
      </c>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row>
    <row r="451">
      <c r="A451" s="22"/>
      <c r="B451" s="22" t="str">
        <f>IF(ISBLANK(A451),"",VLOOKUP(A451,DOI_URL!$B$1:$C$74,2,FALSE()))</f>
        <v/>
      </c>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c r="AA451" s="22"/>
      <c r="AB451" s="22"/>
      <c r="AC451" s="22"/>
      <c r="AD451" s="22"/>
      <c r="AE451" s="22"/>
    </row>
    <row r="452">
      <c r="A452" s="22"/>
      <c r="B452" s="22" t="str">
        <f>IF(ISBLANK(A452),"",VLOOKUP(A452,DOI_URL!$B$1:$C$74,2,FALSE()))</f>
        <v/>
      </c>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c r="AA452" s="22"/>
      <c r="AB452" s="22"/>
      <c r="AC452" s="22"/>
      <c r="AD452" s="22"/>
      <c r="AE452" s="22"/>
    </row>
    <row r="453">
      <c r="A453" s="22"/>
      <c r="B453" s="22" t="str">
        <f>IF(ISBLANK(A453),"",VLOOKUP(A453,DOI_URL!$B$1:$C$74,2,FALSE()))</f>
        <v/>
      </c>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c r="AA453" s="22"/>
      <c r="AB453" s="22"/>
      <c r="AC453" s="22"/>
      <c r="AD453" s="22"/>
      <c r="AE453" s="22"/>
    </row>
    <row r="454">
      <c r="A454" s="22"/>
      <c r="B454" s="22" t="str">
        <f>IF(ISBLANK(A454),"",VLOOKUP(A454,DOI_URL!$B$1:$C$74,2,FALSE()))</f>
        <v/>
      </c>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c r="AA454" s="22"/>
      <c r="AB454" s="22"/>
      <c r="AC454" s="22"/>
      <c r="AD454" s="22"/>
      <c r="AE454" s="22"/>
    </row>
    <row r="455">
      <c r="A455" s="22"/>
      <c r="B455" s="22" t="str">
        <f>IF(ISBLANK(A455),"",VLOOKUP(A455,DOI_URL!$B$1:$C$74,2,FALSE()))</f>
        <v/>
      </c>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c r="AA455" s="22"/>
      <c r="AB455" s="22"/>
      <c r="AC455" s="22"/>
      <c r="AD455" s="22"/>
      <c r="AE455" s="22"/>
    </row>
    <row r="456">
      <c r="A456" s="22"/>
      <c r="B456" s="22" t="str">
        <f>IF(ISBLANK(A456),"",VLOOKUP(A456,DOI_URL!$B$1:$C$74,2,FALSE()))</f>
        <v/>
      </c>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c r="AA456" s="22"/>
      <c r="AB456" s="22"/>
      <c r="AC456" s="22"/>
      <c r="AD456" s="22"/>
      <c r="AE456" s="22"/>
    </row>
    <row r="457">
      <c r="A457" s="22"/>
      <c r="B457" s="22" t="str">
        <f>IF(ISBLANK(A457),"",VLOOKUP(A457,DOI_URL!$B$1:$C$74,2,FALSE()))</f>
        <v/>
      </c>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c r="AA457" s="22"/>
      <c r="AB457" s="22"/>
      <c r="AC457" s="22"/>
      <c r="AD457" s="22"/>
      <c r="AE457" s="22"/>
    </row>
    <row r="458">
      <c r="A458" s="22"/>
      <c r="B458" s="22" t="str">
        <f>IF(ISBLANK(A458),"",VLOOKUP(A458,DOI_URL!$B$1:$C$74,2,FALSE()))</f>
        <v/>
      </c>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c r="AA458" s="22"/>
      <c r="AB458" s="22"/>
      <c r="AC458" s="22"/>
      <c r="AD458" s="22"/>
      <c r="AE458" s="22"/>
    </row>
    <row r="459">
      <c r="A459" s="22"/>
      <c r="B459" s="22" t="str">
        <f>IF(ISBLANK(A459),"",VLOOKUP(A459,DOI_URL!$B$1:$C$74,2,FALSE()))</f>
        <v/>
      </c>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c r="AA459" s="22"/>
      <c r="AB459" s="22"/>
      <c r="AC459" s="22"/>
      <c r="AD459" s="22"/>
      <c r="AE459" s="22"/>
    </row>
    <row r="460">
      <c r="A460" s="22"/>
      <c r="B460" s="22" t="str">
        <f>IF(ISBLANK(A460),"",VLOOKUP(A460,DOI_URL!$B$1:$C$74,2,FALSE()))</f>
        <v/>
      </c>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c r="AA460" s="22"/>
      <c r="AB460" s="22"/>
      <c r="AC460" s="22"/>
      <c r="AD460" s="22"/>
      <c r="AE460" s="22"/>
    </row>
    <row r="461">
      <c r="A461" s="22"/>
      <c r="B461" s="22" t="str">
        <f>IF(ISBLANK(A461),"",VLOOKUP(A461,DOI_URL!$B$1:$C$74,2,FALSE()))</f>
        <v/>
      </c>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c r="AA461" s="22"/>
      <c r="AB461" s="22"/>
      <c r="AC461" s="22"/>
      <c r="AD461" s="22"/>
      <c r="AE461" s="22"/>
    </row>
    <row r="462">
      <c r="A462" s="22"/>
      <c r="B462" s="22" t="str">
        <f>IF(ISBLANK(A462),"",VLOOKUP(A462,DOI_URL!$B$1:$C$74,2,FALSE()))</f>
        <v/>
      </c>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c r="AA462" s="22"/>
      <c r="AB462" s="22"/>
      <c r="AC462" s="22"/>
      <c r="AD462" s="22"/>
      <c r="AE462" s="22"/>
    </row>
    <row r="463">
      <c r="A463" s="22"/>
      <c r="B463" s="22" t="str">
        <f>IF(ISBLANK(A463),"",VLOOKUP(A463,DOI_URL!$B$1:$C$74,2,FALSE()))</f>
        <v/>
      </c>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c r="AA463" s="22"/>
      <c r="AB463" s="22"/>
      <c r="AC463" s="22"/>
      <c r="AD463" s="22"/>
      <c r="AE463" s="22"/>
    </row>
    <row r="464">
      <c r="A464" s="22"/>
      <c r="B464" s="22" t="str">
        <f>IF(ISBLANK(A464),"",VLOOKUP(A464,DOI_URL!$B$1:$C$74,2,FALSE()))</f>
        <v/>
      </c>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c r="AA464" s="22"/>
      <c r="AB464" s="22"/>
      <c r="AC464" s="22"/>
      <c r="AD464" s="22"/>
      <c r="AE464" s="22"/>
    </row>
    <row r="465">
      <c r="A465" s="22"/>
      <c r="B465" s="22" t="str">
        <f>IF(ISBLANK(A465),"",VLOOKUP(A465,DOI_URL!$B$1:$C$74,2,FALSE()))</f>
        <v/>
      </c>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c r="AA465" s="22"/>
      <c r="AB465" s="22"/>
      <c r="AC465" s="22"/>
      <c r="AD465" s="22"/>
      <c r="AE465" s="22"/>
    </row>
    <row r="466">
      <c r="A466" s="22"/>
      <c r="B466" s="22" t="str">
        <f>IF(ISBLANK(A466),"",VLOOKUP(A466,DOI_URL!$B$1:$C$74,2,FALSE()))</f>
        <v/>
      </c>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c r="AA466" s="22"/>
      <c r="AB466" s="22"/>
      <c r="AC466" s="22"/>
      <c r="AD466" s="22"/>
      <c r="AE466" s="22"/>
    </row>
    <row r="467">
      <c r="A467" s="22"/>
      <c r="B467" s="22" t="str">
        <f>IF(ISBLANK(A467),"",VLOOKUP(A467,DOI_URL!$B$1:$C$74,2,FALSE()))</f>
        <v/>
      </c>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c r="AA467" s="22"/>
      <c r="AB467" s="22"/>
      <c r="AC467" s="22"/>
      <c r="AD467" s="22"/>
      <c r="AE467" s="22"/>
    </row>
    <row r="468">
      <c r="A468" s="22"/>
      <c r="B468" s="22" t="str">
        <f>IF(ISBLANK(A468),"",VLOOKUP(A468,DOI_URL!$B$1:$C$74,2,FALSE()))</f>
        <v/>
      </c>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c r="AA468" s="22"/>
      <c r="AB468" s="22"/>
      <c r="AC468" s="22"/>
      <c r="AD468" s="22"/>
      <c r="AE468" s="22"/>
    </row>
    <row r="469">
      <c r="A469" s="22"/>
      <c r="B469" s="22" t="str">
        <f>IF(ISBLANK(A469),"",VLOOKUP(A469,DOI_URL!$B$1:$C$74,2,FALSE()))</f>
        <v/>
      </c>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c r="AA469" s="22"/>
      <c r="AB469" s="22"/>
      <c r="AC469" s="22"/>
      <c r="AD469" s="22"/>
      <c r="AE469" s="22"/>
    </row>
    <row r="470">
      <c r="A470" s="22"/>
      <c r="B470" s="22" t="str">
        <f>IF(ISBLANK(A470),"",VLOOKUP(A470,DOI_URL!$B$1:$C$74,2,FALSE()))</f>
        <v/>
      </c>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c r="AA470" s="22"/>
      <c r="AB470" s="22"/>
      <c r="AC470" s="22"/>
      <c r="AD470" s="22"/>
      <c r="AE470" s="22"/>
    </row>
    <row r="471">
      <c r="A471" s="22"/>
      <c r="B471" s="22" t="str">
        <f>IF(ISBLANK(A471),"",VLOOKUP(A471,DOI_URL!$B$1:$C$74,2,FALSE()))</f>
        <v/>
      </c>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c r="AA471" s="22"/>
      <c r="AB471" s="22"/>
      <c r="AC471" s="22"/>
      <c r="AD471" s="22"/>
      <c r="AE471" s="22"/>
    </row>
    <row r="472">
      <c r="A472" s="22"/>
      <c r="B472" s="22" t="str">
        <f>IF(ISBLANK(A472),"",VLOOKUP(A472,DOI_URL!$B$1:$C$74,2,FALSE()))</f>
        <v/>
      </c>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c r="AA472" s="22"/>
      <c r="AB472" s="22"/>
      <c r="AC472" s="22"/>
      <c r="AD472" s="22"/>
      <c r="AE472" s="22"/>
    </row>
    <row r="473">
      <c r="A473" s="22"/>
      <c r="B473" s="22" t="str">
        <f>IF(ISBLANK(A473),"",VLOOKUP(A473,DOI_URL!$B$1:$C$74,2,FALSE()))</f>
        <v/>
      </c>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c r="AA473" s="22"/>
      <c r="AB473" s="22"/>
      <c r="AC473" s="22"/>
      <c r="AD473" s="22"/>
      <c r="AE473" s="22"/>
    </row>
    <row r="474">
      <c r="A474" s="22"/>
      <c r="B474" s="22" t="str">
        <f>IF(ISBLANK(A474),"",VLOOKUP(A474,DOI_URL!$B$1:$C$74,2,FALSE()))</f>
        <v/>
      </c>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c r="AA474" s="22"/>
      <c r="AB474" s="22"/>
      <c r="AC474" s="22"/>
      <c r="AD474" s="22"/>
      <c r="AE474" s="22"/>
    </row>
    <row r="475">
      <c r="A475" s="22"/>
      <c r="B475" s="22" t="str">
        <f>IF(ISBLANK(A475),"",VLOOKUP(A475,DOI_URL!$B$1:$C$74,2,FALSE()))</f>
        <v/>
      </c>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row>
    <row r="476">
      <c r="A476" s="22"/>
      <c r="B476" s="22" t="str">
        <f>IF(ISBLANK(A476),"",VLOOKUP(A476,DOI_URL!$B$1:$C$74,2,FALSE()))</f>
        <v/>
      </c>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c r="AE476" s="22"/>
    </row>
    <row r="477">
      <c r="A477" s="22"/>
      <c r="B477" s="22" t="str">
        <f>IF(ISBLANK(A477),"",VLOOKUP(A477,DOI_URL!$B$1:$C$74,2,FALSE()))</f>
        <v/>
      </c>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c r="AA477" s="22"/>
      <c r="AB477" s="22"/>
      <c r="AC477" s="22"/>
      <c r="AD477" s="22"/>
      <c r="AE477" s="22"/>
    </row>
    <row r="478">
      <c r="A478" s="22"/>
      <c r="B478" s="22" t="str">
        <f>IF(ISBLANK(A478),"",VLOOKUP(A478,DOI_URL!$B$1:$C$74,2,FALSE()))</f>
        <v/>
      </c>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c r="AA478" s="22"/>
      <c r="AB478" s="22"/>
      <c r="AC478" s="22"/>
      <c r="AD478" s="22"/>
      <c r="AE478" s="22"/>
    </row>
    <row r="479">
      <c r="A479" s="22"/>
      <c r="B479" s="22" t="str">
        <f>IF(ISBLANK(A479),"",VLOOKUP(A479,DOI_URL!$B$1:$C$74,2,FALSE()))</f>
        <v/>
      </c>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c r="AA479" s="22"/>
      <c r="AB479" s="22"/>
      <c r="AC479" s="22"/>
      <c r="AD479" s="22"/>
      <c r="AE479" s="22"/>
    </row>
    <row r="480">
      <c r="A480" s="22"/>
      <c r="B480" s="22" t="str">
        <f>IF(ISBLANK(A480),"",VLOOKUP(A480,DOI_URL!$B$1:$C$74,2,FALSE()))</f>
        <v/>
      </c>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c r="AA480" s="22"/>
      <c r="AB480" s="22"/>
      <c r="AC480" s="22"/>
      <c r="AD480" s="22"/>
      <c r="AE480" s="22"/>
    </row>
    <row r="481">
      <c r="A481" s="22"/>
      <c r="B481" s="22" t="str">
        <f>IF(ISBLANK(A481),"",VLOOKUP(A481,DOI_URL!$B$1:$C$74,2,FALSE()))</f>
        <v/>
      </c>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c r="AA481" s="22"/>
      <c r="AB481" s="22"/>
      <c r="AC481" s="22"/>
      <c r="AD481" s="22"/>
      <c r="AE481" s="22"/>
    </row>
    <row r="482">
      <c r="A482" s="22"/>
      <c r="B482" s="22" t="str">
        <f>IF(ISBLANK(A482),"",VLOOKUP(A482,DOI_URL!$B$1:$C$74,2,FALSE()))</f>
        <v/>
      </c>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c r="AA482" s="22"/>
      <c r="AB482" s="22"/>
      <c r="AC482" s="22"/>
      <c r="AD482" s="22"/>
      <c r="AE482" s="22"/>
    </row>
    <row r="483">
      <c r="A483" s="22"/>
      <c r="B483" s="22" t="str">
        <f>IF(ISBLANK(A483),"",VLOOKUP(A483,DOI_URL!$B$1:$C$74,2,FALSE()))</f>
        <v/>
      </c>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c r="AA483" s="22"/>
      <c r="AB483" s="22"/>
      <c r="AC483" s="22"/>
      <c r="AD483" s="22"/>
      <c r="AE483" s="22"/>
    </row>
    <row r="484">
      <c r="A484" s="22"/>
      <c r="B484" s="22" t="str">
        <f>IF(ISBLANK(A484),"",VLOOKUP(A484,DOI_URL!$B$1:$C$74,2,FALSE()))</f>
        <v/>
      </c>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c r="AA484" s="22"/>
      <c r="AB484" s="22"/>
      <c r="AC484" s="22"/>
      <c r="AD484" s="22"/>
      <c r="AE484" s="22"/>
    </row>
    <row r="485">
      <c r="A485" s="22"/>
      <c r="B485" s="22" t="str">
        <f>IF(ISBLANK(A485),"",VLOOKUP(A485,DOI_URL!$B$1:$C$74,2,FALSE()))</f>
        <v/>
      </c>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c r="AA485" s="22"/>
      <c r="AB485" s="22"/>
      <c r="AC485" s="22"/>
      <c r="AD485" s="22"/>
      <c r="AE485" s="22"/>
    </row>
    <row r="486">
      <c r="A486" s="22"/>
      <c r="B486" s="22" t="str">
        <f>IF(ISBLANK(A486),"",VLOOKUP(A486,DOI_URL!$B$1:$C$74,2,FALSE()))</f>
        <v/>
      </c>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c r="AA486" s="22"/>
      <c r="AB486" s="22"/>
      <c r="AC486" s="22"/>
      <c r="AD486" s="22"/>
      <c r="AE486" s="22"/>
    </row>
    <row r="487">
      <c r="A487" s="22"/>
      <c r="B487" s="22" t="str">
        <f>IF(ISBLANK(A487),"",VLOOKUP(A487,DOI_URL!$B$1:$C$74,2,FALSE()))</f>
        <v/>
      </c>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c r="AA487" s="22"/>
      <c r="AB487" s="22"/>
      <c r="AC487" s="22"/>
      <c r="AD487" s="22"/>
      <c r="AE487" s="22"/>
    </row>
    <row r="488">
      <c r="A488" s="22"/>
      <c r="B488" s="22" t="str">
        <f>IF(ISBLANK(A488),"",VLOOKUP(A488,DOI_URL!$B$1:$C$74,2,FALSE()))</f>
        <v/>
      </c>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c r="AA488" s="22"/>
      <c r="AB488" s="22"/>
      <c r="AC488" s="22"/>
      <c r="AD488" s="22"/>
      <c r="AE488" s="22"/>
    </row>
    <row r="489">
      <c r="A489" s="22"/>
      <c r="B489" s="22" t="str">
        <f>IF(ISBLANK(A489),"",VLOOKUP(A489,DOI_URL!$B$1:$C$74,2,FALSE()))</f>
        <v/>
      </c>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c r="AA489" s="22"/>
      <c r="AB489" s="22"/>
      <c r="AC489" s="22"/>
      <c r="AD489" s="22"/>
      <c r="AE489" s="22"/>
    </row>
    <row r="490">
      <c r="A490" s="22"/>
      <c r="B490" s="22" t="str">
        <f>IF(ISBLANK(A490),"",VLOOKUP(A490,DOI_URL!$B$1:$C$74,2,FALSE()))</f>
        <v/>
      </c>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c r="AA490" s="22"/>
      <c r="AB490" s="22"/>
      <c r="AC490" s="22"/>
      <c r="AD490" s="22"/>
      <c r="AE490" s="22"/>
    </row>
    <row r="491">
      <c r="A491" s="22"/>
      <c r="B491" s="22" t="str">
        <f>IF(ISBLANK(A491),"",VLOOKUP(A491,DOI_URL!$B$1:$C$74,2,FALSE()))</f>
        <v/>
      </c>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c r="AA491" s="22"/>
      <c r="AB491" s="22"/>
      <c r="AC491" s="22"/>
      <c r="AD491" s="22"/>
      <c r="AE491" s="22"/>
    </row>
    <row r="492">
      <c r="A492" s="22"/>
      <c r="B492" s="22" t="str">
        <f>IF(ISBLANK(A492),"",VLOOKUP(A492,DOI_URL!$B$1:$C$74,2,FALSE()))</f>
        <v/>
      </c>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c r="AA492" s="22"/>
      <c r="AB492" s="22"/>
      <c r="AC492" s="22"/>
      <c r="AD492" s="22"/>
      <c r="AE492" s="22"/>
    </row>
    <row r="493">
      <c r="A493" s="22"/>
      <c r="B493" s="22" t="str">
        <f>IF(ISBLANK(A493),"",VLOOKUP(A493,DOI_URL!$B$1:$C$74,2,FALSE()))</f>
        <v/>
      </c>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c r="AA493" s="22"/>
      <c r="AB493" s="22"/>
      <c r="AC493" s="22"/>
      <c r="AD493" s="22"/>
      <c r="AE493" s="22"/>
    </row>
    <row r="494">
      <c r="A494" s="22"/>
      <c r="B494" s="22" t="str">
        <f>IF(ISBLANK(A494),"",VLOOKUP(A494,DOI_URL!$B$1:$C$74,2,FALSE()))</f>
        <v/>
      </c>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c r="AA494" s="22"/>
      <c r="AB494" s="22"/>
      <c r="AC494" s="22"/>
      <c r="AD494" s="22"/>
      <c r="AE494" s="22"/>
    </row>
    <row r="495">
      <c r="A495" s="22"/>
      <c r="B495" s="22" t="str">
        <f>IF(ISBLANK(A495),"",VLOOKUP(A495,DOI_URL!$B$1:$C$74,2,FALSE()))</f>
        <v/>
      </c>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c r="AA495" s="22"/>
      <c r="AB495" s="22"/>
      <c r="AC495" s="22"/>
      <c r="AD495" s="22"/>
      <c r="AE495" s="22"/>
    </row>
    <row r="496">
      <c r="A496" s="22"/>
      <c r="B496" s="22" t="str">
        <f>IF(ISBLANK(A496),"",VLOOKUP(A496,DOI_URL!$B$1:$C$74,2,FALSE()))</f>
        <v/>
      </c>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c r="AA496" s="22"/>
      <c r="AB496" s="22"/>
      <c r="AC496" s="22"/>
      <c r="AD496" s="22"/>
      <c r="AE496" s="22"/>
    </row>
    <row r="497">
      <c r="A497" s="22"/>
      <c r="B497" s="22" t="str">
        <f>IF(ISBLANK(A497),"",VLOOKUP(A497,DOI_URL!$B$1:$C$74,2,FALSE()))</f>
        <v/>
      </c>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c r="AA497" s="22"/>
      <c r="AB497" s="22"/>
      <c r="AC497" s="22"/>
      <c r="AD497" s="22"/>
      <c r="AE497" s="22"/>
    </row>
    <row r="498">
      <c r="A498" s="22"/>
      <c r="B498" s="22" t="str">
        <f>IF(ISBLANK(A498),"",VLOOKUP(A498,DOI_URL!$B$1:$C$74,2,FALSE()))</f>
        <v/>
      </c>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c r="AA498" s="22"/>
      <c r="AB498" s="22"/>
      <c r="AC498" s="22"/>
      <c r="AD498" s="22"/>
      <c r="AE498" s="22"/>
    </row>
    <row r="499">
      <c r="A499" s="22"/>
      <c r="B499" s="22" t="str">
        <f>IF(ISBLANK(A499),"",VLOOKUP(A499,DOI_URL!$B$1:$C$74,2,FALSE()))</f>
        <v/>
      </c>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c r="AA499" s="22"/>
      <c r="AB499" s="22"/>
      <c r="AC499" s="22"/>
      <c r="AD499" s="22"/>
      <c r="AE499" s="22"/>
    </row>
    <row r="500">
      <c r="A500" s="22"/>
      <c r="B500" s="22" t="str">
        <f>IF(ISBLANK(A500),"",VLOOKUP(A500,DOI_URL!$B$1:$C$74,2,FALSE()))</f>
        <v/>
      </c>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row>
    <row r="501">
      <c r="A501" s="22"/>
      <c r="B501" s="22" t="str">
        <f>IF(ISBLANK(A501),"",VLOOKUP(A501,DOI_URL!$B$1:$C$74,2,FALSE()))</f>
        <v/>
      </c>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c r="AA501" s="22"/>
      <c r="AB501" s="22"/>
      <c r="AC501" s="22"/>
      <c r="AD501" s="22"/>
      <c r="AE501" s="22"/>
    </row>
    <row r="502">
      <c r="A502" s="22"/>
      <c r="B502" s="22" t="str">
        <f>IF(ISBLANK(A502),"",VLOOKUP(A502,DOI_URL!$B$1:$C$74,2,FALSE()))</f>
        <v/>
      </c>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c r="AA502" s="22"/>
      <c r="AB502" s="22"/>
      <c r="AC502" s="22"/>
      <c r="AD502" s="22"/>
      <c r="AE502" s="22"/>
    </row>
    <row r="503">
      <c r="A503" s="22"/>
      <c r="B503" s="22" t="str">
        <f>IF(ISBLANK(A503),"",VLOOKUP(A503,DOI_URL!$B$1:$C$74,2,FALSE()))</f>
        <v/>
      </c>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c r="AA503" s="22"/>
      <c r="AB503" s="22"/>
      <c r="AC503" s="22"/>
      <c r="AD503" s="22"/>
      <c r="AE503" s="22"/>
    </row>
    <row r="504">
      <c r="A504" s="22"/>
      <c r="B504" s="22" t="str">
        <f>IF(ISBLANK(A504),"",VLOOKUP(A504,DOI_URL!$B$1:$C$74,2,FALSE()))</f>
        <v/>
      </c>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c r="AA504" s="22"/>
      <c r="AB504" s="22"/>
      <c r="AC504" s="22"/>
      <c r="AD504" s="22"/>
      <c r="AE504" s="22"/>
    </row>
    <row r="505">
      <c r="A505" s="22"/>
      <c r="B505" s="22" t="str">
        <f>IF(ISBLANK(A505),"",VLOOKUP(A505,DOI_URL!$B$1:$C$74,2,FALSE()))</f>
        <v/>
      </c>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c r="AA505" s="22"/>
      <c r="AB505" s="22"/>
      <c r="AC505" s="22"/>
      <c r="AD505" s="22"/>
      <c r="AE505" s="22"/>
    </row>
    <row r="506">
      <c r="A506" s="22"/>
      <c r="B506" s="22" t="str">
        <f>IF(ISBLANK(A506),"",VLOOKUP(A506,DOI_URL!$B$1:$C$74,2,FALSE()))</f>
        <v/>
      </c>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c r="AA506" s="22"/>
      <c r="AB506" s="22"/>
      <c r="AC506" s="22"/>
      <c r="AD506" s="22"/>
      <c r="AE506" s="22"/>
    </row>
    <row r="507">
      <c r="A507" s="22"/>
      <c r="B507" s="22" t="str">
        <f>IF(ISBLANK(A507),"",VLOOKUP(A507,DOI_URL!$B$1:$C$74,2,FALSE()))</f>
        <v/>
      </c>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c r="AA507" s="22"/>
      <c r="AB507" s="22"/>
      <c r="AC507" s="22"/>
      <c r="AD507" s="22"/>
      <c r="AE507" s="22"/>
    </row>
    <row r="508">
      <c r="A508" s="22"/>
      <c r="B508" s="22" t="str">
        <f>IF(ISBLANK(A508),"",VLOOKUP(A508,DOI_URL!$B$1:$C$74,2,FALSE()))</f>
        <v/>
      </c>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c r="AA508" s="22"/>
      <c r="AB508" s="22"/>
      <c r="AC508" s="22"/>
      <c r="AD508" s="22"/>
      <c r="AE508" s="22"/>
    </row>
    <row r="509">
      <c r="A509" s="22"/>
      <c r="B509" s="22" t="str">
        <f>IF(ISBLANK(A509),"",VLOOKUP(A509,DOI_URL!$B$1:$C$74,2,FALSE()))</f>
        <v/>
      </c>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c r="AA509" s="22"/>
      <c r="AB509" s="22"/>
      <c r="AC509" s="22"/>
      <c r="AD509" s="22"/>
      <c r="AE509" s="22"/>
    </row>
    <row r="510">
      <c r="A510" s="22"/>
      <c r="B510" s="22" t="str">
        <f>IF(ISBLANK(A510),"",VLOOKUP(A510,DOI_URL!$B$1:$C$74,2,FALSE()))</f>
        <v/>
      </c>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c r="AA510" s="22"/>
      <c r="AB510" s="22"/>
      <c r="AC510" s="22"/>
      <c r="AD510" s="22"/>
      <c r="AE510" s="22"/>
    </row>
    <row r="511">
      <c r="A511" s="22"/>
      <c r="B511" s="22" t="str">
        <f>IF(ISBLANK(A511),"",VLOOKUP(A511,DOI_URL!$B$1:$C$74,2,FALSE()))</f>
        <v/>
      </c>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c r="AA511" s="22"/>
      <c r="AB511" s="22"/>
      <c r="AC511" s="22"/>
      <c r="AD511" s="22"/>
      <c r="AE511" s="22"/>
    </row>
    <row r="512">
      <c r="A512" s="22"/>
      <c r="B512" s="22" t="str">
        <f>IF(ISBLANK(A512),"",VLOOKUP(A512,DOI_URL!$B$1:$C$74,2,FALSE()))</f>
        <v/>
      </c>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c r="AA512" s="22"/>
      <c r="AB512" s="22"/>
      <c r="AC512" s="22"/>
      <c r="AD512" s="22"/>
      <c r="AE512" s="22"/>
    </row>
    <row r="513">
      <c r="A513" s="22"/>
      <c r="B513" s="22" t="str">
        <f>IF(ISBLANK(A513),"",VLOOKUP(A513,DOI_URL!$B$1:$C$74,2,FALSE()))</f>
        <v/>
      </c>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c r="AA513" s="22"/>
      <c r="AB513" s="22"/>
      <c r="AC513" s="22"/>
      <c r="AD513" s="22"/>
      <c r="AE513" s="22"/>
    </row>
    <row r="514">
      <c r="A514" s="22"/>
      <c r="B514" s="22" t="str">
        <f>IF(ISBLANK(A514),"",VLOOKUP(A514,DOI_URL!$B$1:$C$74,2,FALSE()))</f>
        <v/>
      </c>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c r="AA514" s="22"/>
      <c r="AB514" s="22"/>
      <c r="AC514" s="22"/>
      <c r="AD514" s="22"/>
      <c r="AE514" s="22"/>
    </row>
    <row r="515">
      <c r="A515" s="22"/>
      <c r="B515" s="22" t="str">
        <f>IF(ISBLANK(A515),"",VLOOKUP(A515,DOI_URL!$B$1:$C$74,2,FALSE()))</f>
        <v/>
      </c>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c r="AA515" s="22"/>
      <c r="AB515" s="22"/>
      <c r="AC515" s="22"/>
      <c r="AD515" s="22"/>
      <c r="AE515" s="22"/>
    </row>
    <row r="516">
      <c r="A516" s="22"/>
      <c r="B516" s="22" t="str">
        <f>IF(ISBLANK(A516),"",VLOOKUP(A516,DOI_URL!$B$1:$C$74,2,FALSE()))</f>
        <v/>
      </c>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c r="AA516" s="22"/>
      <c r="AB516" s="22"/>
      <c r="AC516" s="22"/>
      <c r="AD516" s="22"/>
      <c r="AE516" s="22"/>
    </row>
    <row r="517">
      <c r="A517" s="22"/>
      <c r="B517" s="22" t="str">
        <f>IF(ISBLANK(A517),"",VLOOKUP(A517,DOI_URL!$B$1:$C$74,2,FALSE()))</f>
        <v/>
      </c>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c r="AA517" s="22"/>
      <c r="AB517" s="22"/>
      <c r="AC517" s="22"/>
      <c r="AD517" s="22"/>
      <c r="AE517" s="22"/>
    </row>
    <row r="518">
      <c r="A518" s="22"/>
      <c r="B518" s="22" t="str">
        <f>IF(ISBLANK(A518),"",VLOOKUP(A518,DOI_URL!$B$1:$C$74,2,FALSE()))</f>
        <v/>
      </c>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c r="AA518" s="22"/>
      <c r="AB518" s="22"/>
      <c r="AC518" s="22"/>
      <c r="AD518" s="22"/>
      <c r="AE518" s="22"/>
    </row>
    <row r="519">
      <c r="A519" s="22"/>
      <c r="B519" s="22" t="str">
        <f>IF(ISBLANK(A519),"",VLOOKUP(A519,DOI_URL!$B$1:$C$74,2,FALSE()))</f>
        <v/>
      </c>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c r="AA519" s="22"/>
      <c r="AB519" s="22"/>
      <c r="AC519" s="22"/>
      <c r="AD519" s="22"/>
      <c r="AE519" s="22"/>
    </row>
    <row r="520">
      <c r="A520" s="22"/>
      <c r="B520" s="22" t="str">
        <f>IF(ISBLANK(A520),"",VLOOKUP(A520,DOI_URL!$B$1:$C$74,2,FALSE()))</f>
        <v/>
      </c>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c r="AA520" s="22"/>
      <c r="AB520" s="22"/>
      <c r="AC520" s="22"/>
      <c r="AD520" s="22"/>
      <c r="AE520" s="22"/>
    </row>
    <row r="521">
      <c r="A521" s="22"/>
      <c r="B521" s="22" t="str">
        <f>IF(ISBLANK(A521),"",VLOOKUP(A521,DOI_URL!$B$1:$C$74,2,FALSE()))</f>
        <v/>
      </c>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c r="AA521" s="22"/>
      <c r="AB521" s="22"/>
      <c r="AC521" s="22"/>
      <c r="AD521" s="22"/>
      <c r="AE521" s="22"/>
    </row>
    <row r="522">
      <c r="A522" s="22"/>
      <c r="B522" s="22" t="str">
        <f>IF(ISBLANK(A522),"",VLOOKUP(A522,DOI_URL!$B$1:$C$74,2,FALSE()))</f>
        <v/>
      </c>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c r="AA522" s="22"/>
      <c r="AB522" s="22"/>
      <c r="AC522" s="22"/>
      <c r="AD522" s="22"/>
      <c r="AE522" s="22"/>
    </row>
    <row r="523">
      <c r="A523" s="22"/>
      <c r="B523" s="22" t="str">
        <f>IF(ISBLANK(A523),"",VLOOKUP(A523,DOI_URL!$B$1:$C$74,2,FALSE()))</f>
        <v/>
      </c>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c r="AA523" s="22"/>
      <c r="AB523" s="22"/>
      <c r="AC523" s="22"/>
      <c r="AD523" s="22"/>
      <c r="AE523" s="22"/>
    </row>
    <row r="524">
      <c r="A524" s="22"/>
      <c r="B524" s="22" t="str">
        <f>IF(ISBLANK(A524),"",VLOOKUP(A524,DOI_URL!$B$1:$C$74,2,FALSE()))</f>
        <v/>
      </c>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c r="AA524" s="22"/>
      <c r="AB524" s="22"/>
      <c r="AC524" s="22"/>
      <c r="AD524" s="22"/>
      <c r="AE524" s="22"/>
    </row>
    <row r="525">
      <c r="A525" s="22"/>
      <c r="B525" s="22" t="str">
        <f>IF(ISBLANK(A525),"",VLOOKUP(A525,DOI_URL!$B$1:$C$74,2,FALSE()))</f>
        <v/>
      </c>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row>
    <row r="526">
      <c r="A526" s="22"/>
      <c r="B526" s="22" t="str">
        <f>IF(ISBLANK(A526),"",VLOOKUP(A526,DOI_URL!$B$1:$C$74,2,FALSE()))</f>
        <v/>
      </c>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c r="AA526" s="22"/>
      <c r="AB526" s="22"/>
      <c r="AC526" s="22"/>
      <c r="AD526" s="22"/>
      <c r="AE526" s="22"/>
    </row>
    <row r="527">
      <c r="A527" s="22"/>
      <c r="B527" s="22" t="str">
        <f>IF(ISBLANK(A527),"",VLOOKUP(A527,DOI_URL!$B$1:$C$74,2,FALSE()))</f>
        <v/>
      </c>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c r="AA527" s="22"/>
      <c r="AB527" s="22"/>
      <c r="AC527" s="22"/>
      <c r="AD527" s="22"/>
      <c r="AE527" s="22"/>
    </row>
    <row r="528">
      <c r="A528" s="22"/>
      <c r="B528" s="22" t="str">
        <f>IF(ISBLANK(A528),"",VLOOKUP(A528,DOI_URL!$B$1:$C$74,2,FALSE()))</f>
        <v/>
      </c>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c r="AA528" s="22"/>
      <c r="AB528" s="22"/>
      <c r="AC528" s="22"/>
      <c r="AD528" s="22"/>
      <c r="AE528" s="22"/>
    </row>
    <row r="529">
      <c r="A529" s="22"/>
      <c r="B529" s="22" t="str">
        <f>IF(ISBLANK(A529),"",VLOOKUP(A529,DOI_URL!$B$1:$C$74,2,FALSE()))</f>
        <v/>
      </c>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c r="AA529" s="22"/>
      <c r="AB529" s="22"/>
      <c r="AC529" s="22"/>
      <c r="AD529" s="22"/>
      <c r="AE529" s="22"/>
    </row>
    <row r="530">
      <c r="A530" s="22"/>
      <c r="B530" s="22" t="str">
        <f>IF(ISBLANK(A530),"",VLOOKUP(A530,DOI_URL!$B$1:$C$74,2,FALSE()))</f>
        <v/>
      </c>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c r="AA530" s="22"/>
      <c r="AB530" s="22"/>
      <c r="AC530" s="22"/>
      <c r="AD530" s="22"/>
      <c r="AE530" s="22"/>
    </row>
    <row r="531">
      <c r="A531" s="22"/>
      <c r="B531" s="22" t="str">
        <f>IF(ISBLANK(A531),"",VLOOKUP(A531,DOI_URL!$B$1:$C$74,2,FALSE()))</f>
        <v/>
      </c>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c r="AA531" s="22"/>
      <c r="AB531" s="22"/>
      <c r="AC531" s="22"/>
      <c r="AD531" s="22"/>
      <c r="AE531" s="22"/>
    </row>
    <row r="532">
      <c r="A532" s="22"/>
      <c r="B532" s="22" t="str">
        <f>IF(ISBLANK(A532),"",VLOOKUP(A532,DOI_URL!$B$1:$C$74,2,FALSE()))</f>
        <v/>
      </c>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c r="AA532" s="22"/>
      <c r="AB532" s="22"/>
      <c r="AC532" s="22"/>
      <c r="AD532" s="22"/>
      <c r="AE532" s="22"/>
    </row>
    <row r="533">
      <c r="A533" s="22"/>
      <c r="B533" s="22" t="str">
        <f>IF(ISBLANK(A533),"",VLOOKUP(A533,DOI_URL!$B$1:$C$74,2,FALSE()))</f>
        <v/>
      </c>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c r="AA533" s="22"/>
      <c r="AB533" s="22"/>
      <c r="AC533" s="22"/>
      <c r="AD533" s="22"/>
      <c r="AE533" s="22"/>
    </row>
    <row r="534">
      <c r="A534" s="22"/>
      <c r="B534" s="22" t="str">
        <f>IF(ISBLANK(A534),"",VLOOKUP(A534,DOI_URL!$B$1:$C$74,2,FALSE()))</f>
        <v/>
      </c>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c r="AA534" s="22"/>
      <c r="AB534" s="22"/>
      <c r="AC534" s="22"/>
      <c r="AD534" s="22"/>
      <c r="AE534" s="22"/>
    </row>
    <row r="535">
      <c r="A535" s="22"/>
      <c r="B535" s="22" t="str">
        <f>IF(ISBLANK(A535),"",VLOOKUP(A535,DOI_URL!$B$1:$C$74,2,FALSE()))</f>
        <v/>
      </c>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c r="AA535" s="22"/>
      <c r="AB535" s="22"/>
      <c r="AC535" s="22"/>
      <c r="AD535" s="22"/>
      <c r="AE535" s="22"/>
    </row>
    <row r="536">
      <c r="A536" s="22"/>
      <c r="B536" s="22" t="str">
        <f>IF(ISBLANK(A536),"",VLOOKUP(A536,DOI_URL!$B$1:$C$74,2,FALSE()))</f>
        <v/>
      </c>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c r="AA536" s="22"/>
      <c r="AB536" s="22"/>
      <c r="AC536" s="22"/>
      <c r="AD536" s="22"/>
      <c r="AE536" s="22"/>
    </row>
    <row r="537">
      <c r="A537" s="22"/>
      <c r="B537" s="22" t="str">
        <f>IF(ISBLANK(A537),"",VLOOKUP(A537,DOI_URL!$B$1:$C$74,2,FALSE()))</f>
        <v/>
      </c>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c r="AA537" s="22"/>
      <c r="AB537" s="22"/>
      <c r="AC537" s="22"/>
      <c r="AD537" s="22"/>
      <c r="AE537" s="22"/>
    </row>
    <row r="538">
      <c r="A538" s="22"/>
      <c r="B538" s="22" t="str">
        <f>IF(ISBLANK(A538),"",VLOOKUP(A538,DOI_URL!$B$1:$C$74,2,FALSE()))</f>
        <v/>
      </c>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c r="AA538" s="22"/>
      <c r="AB538" s="22"/>
      <c r="AC538" s="22"/>
      <c r="AD538" s="22"/>
      <c r="AE538" s="22"/>
    </row>
    <row r="539">
      <c r="A539" s="22"/>
      <c r="B539" s="22" t="str">
        <f>IF(ISBLANK(A539),"",VLOOKUP(A539,DOI_URL!$B$1:$C$74,2,FALSE()))</f>
        <v/>
      </c>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c r="AA539" s="22"/>
      <c r="AB539" s="22"/>
      <c r="AC539" s="22"/>
      <c r="AD539" s="22"/>
      <c r="AE539" s="22"/>
    </row>
    <row r="540">
      <c r="A540" s="22"/>
      <c r="B540" s="22" t="str">
        <f>IF(ISBLANK(A540),"",VLOOKUP(A540,DOI_URL!$B$1:$C$74,2,FALSE()))</f>
        <v/>
      </c>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c r="AA540" s="22"/>
      <c r="AB540" s="22"/>
      <c r="AC540" s="22"/>
      <c r="AD540" s="22"/>
      <c r="AE540" s="22"/>
    </row>
    <row r="541">
      <c r="A541" s="22"/>
      <c r="B541" s="22" t="str">
        <f>IF(ISBLANK(A541),"",VLOOKUP(A541,DOI_URL!$B$1:$C$74,2,FALSE()))</f>
        <v/>
      </c>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c r="AA541" s="22"/>
      <c r="AB541" s="22"/>
      <c r="AC541" s="22"/>
      <c r="AD541" s="22"/>
      <c r="AE541" s="22"/>
    </row>
    <row r="542">
      <c r="A542" s="22"/>
      <c r="B542" s="22" t="str">
        <f>IF(ISBLANK(A542),"",VLOOKUP(A542,DOI_URL!$B$1:$C$74,2,FALSE()))</f>
        <v/>
      </c>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c r="AA542" s="22"/>
      <c r="AB542" s="22"/>
      <c r="AC542" s="22"/>
      <c r="AD542" s="22"/>
      <c r="AE542" s="22"/>
    </row>
    <row r="543">
      <c r="A543" s="22"/>
      <c r="B543" s="22" t="str">
        <f>IF(ISBLANK(A543),"",VLOOKUP(A543,DOI_URL!$B$1:$C$74,2,FALSE()))</f>
        <v/>
      </c>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c r="AA543" s="22"/>
      <c r="AB543" s="22"/>
      <c r="AC543" s="22"/>
      <c r="AD543" s="22"/>
      <c r="AE543" s="22"/>
    </row>
    <row r="544">
      <c r="A544" s="22"/>
      <c r="B544" s="22" t="str">
        <f>IF(ISBLANK(A544),"",VLOOKUP(A544,DOI_URL!$B$1:$C$74,2,FALSE()))</f>
        <v/>
      </c>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c r="AA544" s="22"/>
      <c r="AB544" s="22"/>
      <c r="AC544" s="22"/>
      <c r="AD544" s="22"/>
      <c r="AE544" s="22"/>
    </row>
    <row r="545">
      <c r="A545" s="22"/>
      <c r="B545" s="22" t="str">
        <f>IF(ISBLANK(A545),"",VLOOKUP(A545,DOI_URL!$B$1:$C$74,2,FALSE()))</f>
        <v/>
      </c>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c r="AA545" s="22"/>
      <c r="AB545" s="22"/>
      <c r="AC545" s="22"/>
      <c r="AD545" s="22"/>
      <c r="AE545" s="22"/>
    </row>
    <row r="546">
      <c r="A546" s="22"/>
      <c r="B546" s="22" t="str">
        <f>IF(ISBLANK(A546),"",VLOOKUP(A546,DOI_URL!$B$1:$C$74,2,FALSE()))</f>
        <v/>
      </c>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c r="AA546" s="22"/>
      <c r="AB546" s="22"/>
      <c r="AC546" s="22"/>
      <c r="AD546" s="22"/>
      <c r="AE546" s="22"/>
    </row>
    <row r="547">
      <c r="A547" s="22"/>
      <c r="B547" s="22" t="str">
        <f>IF(ISBLANK(A547),"",VLOOKUP(A547,DOI_URL!$B$1:$C$74,2,FALSE()))</f>
        <v/>
      </c>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c r="AA547" s="22"/>
      <c r="AB547" s="22"/>
      <c r="AC547" s="22"/>
      <c r="AD547" s="22"/>
      <c r="AE547" s="22"/>
    </row>
    <row r="548">
      <c r="A548" s="22"/>
      <c r="B548" s="22" t="str">
        <f>IF(ISBLANK(A548),"",VLOOKUP(A548,DOI_URL!$B$1:$C$74,2,FALSE()))</f>
        <v/>
      </c>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c r="AA548" s="22"/>
      <c r="AB548" s="22"/>
      <c r="AC548" s="22"/>
      <c r="AD548" s="22"/>
      <c r="AE548" s="22"/>
    </row>
    <row r="549">
      <c r="A549" s="22"/>
      <c r="B549" s="22" t="str">
        <f>IF(ISBLANK(A549),"",VLOOKUP(A549,DOI_URL!$B$1:$C$74,2,FALSE()))</f>
        <v/>
      </c>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c r="AA549" s="22"/>
      <c r="AB549" s="22"/>
      <c r="AC549" s="22"/>
      <c r="AD549" s="22"/>
      <c r="AE549" s="22"/>
    </row>
    <row r="550">
      <c r="A550" s="22"/>
      <c r="B550" s="22" t="str">
        <f>IF(ISBLANK(A550),"",VLOOKUP(A550,DOI_URL!$B$1:$C$74,2,FALSE()))</f>
        <v/>
      </c>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row>
    <row r="551">
      <c r="A551" s="22"/>
      <c r="B551" s="22" t="str">
        <f>IF(ISBLANK(A551),"",VLOOKUP(A551,DOI_URL!$B$1:$C$74,2,FALSE()))</f>
        <v/>
      </c>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c r="AA551" s="22"/>
      <c r="AB551" s="22"/>
      <c r="AC551" s="22"/>
      <c r="AD551" s="22"/>
      <c r="AE551" s="22"/>
    </row>
    <row r="552">
      <c r="A552" s="22"/>
      <c r="B552" s="22" t="str">
        <f>IF(ISBLANK(A552),"",VLOOKUP(A552,DOI_URL!$B$1:$C$74,2,FALSE()))</f>
        <v/>
      </c>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c r="AA552" s="22"/>
      <c r="AB552" s="22"/>
      <c r="AC552" s="22"/>
      <c r="AD552" s="22"/>
      <c r="AE552" s="22"/>
    </row>
    <row r="553">
      <c r="A553" s="22"/>
      <c r="B553" s="22" t="str">
        <f>IF(ISBLANK(A553),"",VLOOKUP(A553,DOI_URL!$B$1:$C$74,2,FALSE()))</f>
        <v/>
      </c>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c r="AA553" s="22"/>
      <c r="AB553" s="22"/>
      <c r="AC553" s="22"/>
      <c r="AD553" s="22"/>
      <c r="AE553" s="22"/>
    </row>
    <row r="554">
      <c r="A554" s="22"/>
      <c r="B554" s="22" t="str">
        <f>IF(ISBLANK(A554),"",VLOOKUP(A554,DOI_URL!$B$1:$C$74,2,FALSE()))</f>
        <v/>
      </c>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c r="AA554" s="22"/>
      <c r="AB554" s="22"/>
      <c r="AC554" s="22"/>
      <c r="AD554" s="22"/>
      <c r="AE554" s="22"/>
    </row>
    <row r="555">
      <c r="A555" s="22"/>
      <c r="B555" s="22" t="str">
        <f>IF(ISBLANK(A555),"",VLOOKUP(A555,DOI_URL!$B$1:$C$74,2,FALSE()))</f>
        <v/>
      </c>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c r="AA555" s="22"/>
      <c r="AB555" s="22"/>
      <c r="AC555" s="22"/>
      <c r="AD555" s="22"/>
      <c r="AE555" s="22"/>
    </row>
    <row r="556">
      <c r="A556" s="22"/>
      <c r="B556" s="22" t="str">
        <f>IF(ISBLANK(A556),"",VLOOKUP(A556,DOI_URL!$B$1:$C$74,2,FALSE()))</f>
        <v/>
      </c>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c r="AA556" s="22"/>
      <c r="AB556" s="22"/>
      <c r="AC556" s="22"/>
      <c r="AD556" s="22"/>
      <c r="AE556" s="22"/>
    </row>
    <row r="557">
      <c r="A557" s="22"/>
      <c r="B557" s="22" t="str">
        <f>IF(ISBLANK(A557),"",VLOOKUP(A557,DOI_URL!$B$1:$C$74,2,FALSE()))</f>
        <v/>
      </c>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c r="AA557" s="22"/>
      <c r="AB557" s="22"/>
      <c r="AC557" s="22"/>
      <c r="AD557" s="22"/>
      <c r="AE557" s="22"/>
    </row>
    <row r="558">
      <c r="A558" s="22"/>
      <c r="B558" s="22" t="str">
        <f>IF(ISBLANK(A558),"",VLOOKUP(A558,DOI_URL!$B$1:$C$74,2,FALSE()))</f>
        <v/>
      </c>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c r="AA558" s="22"/>
      <c r="AB558" s="22"/>
      <c r="AC558" s="22"/>
      <c r="AD558" s="22"/>
      <c r="AE558" s="22"/>
    </row>
    <row r="559">
      <c r="A559" s="22"/>
      <c r="B559" s="22" t="str">
        <f>IF(ISBLANK(A559),"",VLOOKUP(A559,DOI_URL!$B$1:$C$74,2,FALSE()))</f>
        <v/>
      </c>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c r="AA559" s="22"/>
      <c r="AB559" s="22"/>
      <c r="AC559" s="22"/>
      <c r="AD559" s="22"/>
      <c r="AE559" s="22"/>
    </row>
    <row r="560">
      <c r="A560" s="22"/>
      <c r="B560" s="22" t="str">
        <f>IF(ISBLANK(A560),"",VLOOKUP(A560,DOI_URL!$B$1:$C$74,2,FALSE()))</f>
        <v/>
      </c>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c r="AA560" s="22"/>
      <c r="AB560" s="22"/>
      <c r="AC560" s="22"/>
      <c r="AD560" s="22"/>
      <c r="AE560" s="22"/>
    </row>
    <row r="561">
      <c r="A561" s="22"/>
      <c r="B561" s="22" t="str">
        <f>IF(ISBLANK(A561),"",VLOOKUP(A561,DOI_URL!$B$1:$C$74,2,FALSE()))</f>
        <v/>
      </c>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c r="AA561" s="22"/>
      <c r="AB561" s="22"/>
      <c r="AC561" s="22"/>
      <c r="AD561" s="22"/>
      <c r="AE561" s="22"/>
    </row>
    <row r="562">
      <c r="A562" s="22"/>
      <c r="B562" s="22" t="str">
        <f>IF(ISBLANK(A562),"",VLOOKUP(A562,DOI_URL!$B$1:$C$74,2,FALSE()))</f>
        <v/>
      </c>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c r="AA562" s="22"/>
      <c r="AB562" s="22"/>
      <c r="AC562" s="22"/>
      <c r="AD562" s="22"/>
      <c r="AE562" s="22"/>
    </row>
    <row r="563">
      <c r="A563" s="22"/>
      <c r="B563" s="22" t="str">
        <f>IF(ISBLANK(A563),"",VLOOKUP(A563,DOI_URL!$B$1:$C$74,2,FALSE()))</f>
        <v/>
      </c>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c r="AA563" s="22"/>
      <c r="AB563" s="22"/>
      <c r="AC563" s="22"/>
      <c r="AD563" s="22"/>
      <c r="AE563" s="22"/>
    </row>
    <row r="564">
      <c r="A564" s="22"/>
      <c r="B564" s="22" t="str">
        <f>IF(ISBLANK(A564),"",VLOOKUP(A564,DOI_URL!$B$1:$C$74,2,FALSE()))</f>
        <v/>
      </c>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c r="AA564" s="22"/>
      <c r="AB564" s="22"/>
      <c r="AC564" s="22"/>
      <c r="AD564" s="22"/>
      <c r="AE564" s="22"/>
    </row>
    <row r="565">
      <c r="A565" s="22"/>
      <c r="B565" s="22" t="str">
        <f>IF(ISBLANK(A565),"",VLOOKUP(A565,DOI_URL!$B$1:$C$74,2,FALSE()))</f>
        <v/>
      </c>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c r="AA565" s="22"/>
      <c r="AB565" s="22"/>
      <c r="AC565" s="22"/>
      <c r="AD565" s="22"/>
      <c r="AE565" s="22"/>
    </row>
    <row r="566">
      <c r="A566" s="22"/>
      <c r="B566" s="22" t="str">
        <f>IF(ISBLANK(A566),"",VLOOKUP(A566,DOI_URL!$B$1:$C$74,2,FALSE()))</f>
        <v/>
      </c>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c r="AA566" s="22"/>
      <c r="AB566" s="22"/>
      <c r="AC566" s="22"/>
      <c r="AD566" s="22"/>
      <c r="AE566" s="22"/>
    </row>
    <row r="567">
      <c r="A567" s="22"/>
      <c r="B567" s="22" t="str">
        <f>IF(ISBLANK(A567),"",VLOOKUP(A567,DOI_URL!$B$1:$C$74,2,FALSE()))</f>
        <v/>
      </c>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c r="AA567" s="22"/>
      <c r="AB567" s="22"/>
      <c r="AC567" s="22"/>
      <c r="AD567" s="22"/>
      <c r="AE567" s="22"/>
    </row>
    <row r="568">
      <c r="A568" s="22"/>
      <c r="B568" s="22" t="str">
        <f>IF(ISBLANK(A568),"",VLOOKUP(A568,DOI_URL!$B$1:$C$74,2,FALSE()))</f>
        <v/>
      </c>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c r="AA568" s="22"/>
      <c r="AB568" s="22"/>
      <c r="AC568" s="22"/>
      <c r="AD568" s="22"/>
      <c r="AE568" s="22"/>
    </row>
    <row r="569">
      <c r="A569" s="22"/>
      <c r="B569" s="22" t="str">
        <f>IF(ISBLANK(A569),"",VLOOKUP(A569,DOI_URL!$B$1:$C$74,2,FALSE()))</f>
        <v/>
      </c>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c r="AA569" s="22"/>
      <c r="AB569" s="22"/>
      <c r="AC569" s="22"/>
      <c r="AD569" s="22"/>
      <c r="AE569" s="22"/>
    </row>
    <row r="570">
      <c r="A570" s="22"/>
      <c r="B570" s="22" t="str">
        <f>IF(ISBLANK(A570),"",VLOOKUP(A570,DOI_URL!$B$1:$C$74,2,FALSE()))</f>
        <v/>
      </c>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c r="AA570" s="22"/>
      <c r="AB570" s="22"/>
      <c r="AC570" s="22"/>
      <c r="AD570" s="22"/>
      <c r="AE570" s="22"/>
    </row>
    <row r="571">
      <c r="A571" s="22"/>
      <c r="B571" s="22" t="str">
        <f>IF(ISBLANK(A571),"",VLOOKUP(A571,DOI_URL!$B$1:$C$74,2,FALSE()))</f>
        <v/>
      </c>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c r="AA571" s="22"/>
      <c r="AB571" s="22"/>
      <c r="AC571" s="22"/>
      <c r="AD571" s="22"/>
      <c r="AE571" s="22"/>
    </row>
    <row r="572">
      <c r="A572" s="22"/>
      <c r="B572" s="22" t="str">
        <f>IF(ISBLANK(A572),"",VLOOKUP(A572,DOI_URL!$B$1:$C$74,2,FALSE()))</f>
        <v/>
      </c>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c r="AA572" s="22"/>
      <c r="AB572" s="22"/>
      <c r="AC572" s="22"/>
      <c r="AD572" s="22"/>
      <c r="AE572" s="22"/>
    </row>
    <row r="573">
      <c r="A573" s="22"/>
      <c r="B573" s="22" t="str">
        <f>IF(ISBLANK(A573),"",VLOOKUP(A573,DOI_URL!$B$1:$C$74,2,FALSE()))</f>
        <v/>
      </c>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c r="AA573" s="22"/>
      <c r="AB573" s="22"/>
      <c r="AC573" s="22"/>
      <c r="AD573" s="22"/>
      <c r="AE573" s="22"/>
    </row>
    <row r="574">
      <c r="A574" s="22"/>
      <c r="B574" s="22" t="str">
        <f>IF(ISBLANK(A574),"",VLOOKUP(A574,DOI_URL!$B$1:$C$74,2,FALSE()))</f>
        <v/>
      </c>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c r="AA574" s="22"/>
      <c r="AB574" s="22"/>
      <c r="AC574" s="22"/>
      <c r="AD574" s="22"/>
      <c r="AE574" s="22"/>
    </row>
    <row r="575">
      <c r="A575" s="22"/>
      <c r="B575" s="22" t="str">
        <f>IF(ISBLANK(A575),"",VLOOKUP(A575,DOI_URL!$B$1:$C$74,2,FALSE()))</f>
        <v/>
      </c>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row>
    <row r="576">
      <c r="A576" s="22"/>
      <c r="B576" s="22" t="str">
        <f>IF(ISBLANK(A576),"",VLOOKUP(A576,DOI_URL!$B$1:$C$74,2,FALSE()))</f>
        <v/>
      </c>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c r="AA576" s="22"/>
      <c r="AB576" s="22"/>
      <c r="AC576" s="22"/>
      <c r="AD576" s="22"/>
      <c r="AE576" s="22"/>
    </row>
    <row r="577">
      <c r="A577" s="22"/>
      <c r="B577" s="22" t="str">
        <f>IF(ISBLANK(A577),"",VLOOKUP(A577,DOI_URL!$B$1:$C$74,2,FALSE()))</f>
        <v/>
      </c>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c r="AA577" s="22"/>
      <c r="AB577" s="22"/>
      <c r="AC577" s="22"/>
      <c r="AD577" s="22"/>
      <c r="AE577" s="22"/>
    </row>
    <row r="578">
      <c r="A578" s="22"/>
      <c r="B578" s="22" t="str">
        <f>IF(ISBLANK(A578),"",VLOOKUP(A578,DOI_URL!$B$1:$C$74,2,FALSE()))</f>
        <v/>
      </c>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c r="AA578" s="22"/>
      <c r="AB578" s="22"/>
      <c r="AC578" s="22"/>
      <c r="AD578" s="22"/>
      <c r="AE578" s="22"/>
    </row>
    <row r="579">
      <c r="A579" s="22"/>
      <c r="B579" s="22" t="str">
        <f>IF(ISBLANK(A579),"",VLOOKUP(A579,DOI_URL!$B$1:$C$74,2,FALSE()))</f>
        <v/>
      </c>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c r="AA579" s="22"/>
      <c r="AB579" s="22"/>
      <c r="AC579" s="22"/>
      <c r="AD579" s="22"/>
      <c r="AE579" s="22"/>
    </row>
    <row r="580">
      <c r="A580" s="22"/>
      <c r="B580" s="22" t="str">
        <f>IF(ISBLANK(A580),"",VLOOKUP(A580,DOI_URL!$B$1:$C$74,2,FALSE()))</f>
        <v/>
      </c>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c r="AA580" s="22"/>
      <c r="AB580" s="22"/>
      <c r="AC580" s="22"/>
      <c r="AD580" s="22"/>
      <c r="AE580" s="22"/>
    </row>
    <row r="581">
      <c r="A581" s="22"/>
      <c r="B581" s="22" t="str">
        <f>IF(ISBLANK(A581),"",VLOOKUP(A581,DOI_URL!$B$1:$C$74,2,FALSE()))</f>
        <v/>
      </c>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c r="AA581" s="22"/>
      <c r="AB581" s="22"/>
      <c r="AC581" s="22"/>
      <c r="AD581" s="22"/>
      <c r="AE581" s="22"/>
    </row>
    <row r="582">
      <c r="A582" s="22"/>
      <c r="B582" s="22" t="str">
        <f>IF(ISBLANK(A582),"",VLOOKUP(A582,DOI_URL!$B$1:$C$74,2,FALSE()))</f>
        <v/>
      </c>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c r="AA582" s="22"/>
      <c r="AB582" s="22"/>
      <c r="AC582" s="22"/>
      <c r="AD582" s="22"/>
      <c r="AE582" s="22"/>
    </row>
    <row r="583">
      <c r="A583" s="22"/>
      <c r="B583" s="22" t="str">
        <f>IF(ISBLANK(A583),"",VLOOKUP(A583,DOI_URL!$B$1:$C$74,2,FALSE()))</f>
        <v/>
      </c>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c r="AA583" s="22"/>
      <c r="AB583" s="22"/>
      <c r="AC583" s="22"/>
      <c r="AD583" s="22"/>
      <c r="AE583" s="22"/>
    </row>
    <row r="584">
      <c r="A584" s="22"/>
      <c r="B584" s="22" t="str">
        <f>IF(ISBLANK(A584),"",VLOOKUP(A584,DOI_URL!$B$1:$C$74,2,FALSE()))</f>
        <v/>
      </c>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c r="AA584" s="22"/>
      <c r="AB584" s="22"/>
      <c r="AC584" s="22"/>
      <c r="AD584" s="22"/>
      <c r="AE584" s="22"/>
    </row>
    <row r="585">
      <c r="A585" s="22"/>
      <c r="B585" s="22" t="str">
        <f>IF(ISBLANK(A585),"",VLOOKUP(A585,DOI_URL!$B$1:$C$74,2,FALSE()))</f>
        <v/>
      </c>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c r="AA585" s="22"/>
      <c r="AB585" s="22"/>
      <c r="AC585" s="22"/>
      <c r="AD585" s="22"/>
      <c r="AE585" s="22"/>
    </row>
    <row r="586">
      <c r="A586" s="22"/>
      <c r="B586" s="22" t="str">
        <f>IF(ISBLANK(A586),"",VLOOKUP(A586,DOI_URL!$B$1:$C$74,2,FALSE()))</f>
        <v/>
      </c>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c r="AA586" s="22"/>
      <c r="AB586" s="22"/>
      <c r="AC586" s="22"/>
      <c r="AD586" s="22"/>
      <c r="AE586" s="22"/>
    </row>
    <row r="587">
      <c r="A587" s="22"/>
      <c r="B587" s="22" t="str">
        <f>IF(ISBLANK(A587),"",VLOOKUP(A587,DOI_URL!$B$1:$C$74,2,FALSE()))</f>
        <v/>
      </c>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c r="AA587" s="22"/>
      <c r="AB587" s="22"/>
      <c r="AC587" s="22"/>
      <c r="AD587" s="22"/>
      <c r="AE587" s="22"/>
    </row>
    <row r="588">
      <c r="A588" s="22"/>
      <c r="B588" s="22" t="str">
        <f>IF(ISBLANK(A588),"",VLOOKUP(A588,DOI_URL!$B$1:$C$74,2,FALSE()))</f>
        <v/>
      </c>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c r="AA588" s="22"/>
      <c r="AB588" s="22"/>
      <c r="AC588" s="22"/>
      <c r="AD588" s="22"/>
      <c r="AE588" s="22"/>
    </row>
    <row r="589">
      <c r="A589" s="22"/>
      <c r="B589" s="22" t="str">
        <f>IF(ISBLANK(A589),"",VLOOKUP(A589,DOI_URL!$B$1:$C$74,2,FALSE()))</f>
        <v/>
      </c>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c r="AA589" s="22"/>
      <c r="AB589" s="22"/>
      <c r="AC589" s="22"/>
      <c r="AD589" s="22"/>
      <c r="AE589" s="22"/>
    </row>
    <row r="590">
      <c r="A590" s="22"/>
      <c r="B590" s="22" t="str">
        <f>IF(ISBLANK(A590),"",VLOOKUP(A590,DOI_URL!$B$1:$C$74,2,FALSE()))</f>
        <v/>
      </c>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c r="AA590" s="22"/>
      <c r="AB590" s="22"/>
      <c r="AC590" s="22"/>
      <c r="AD590" s="22"/>
      <c r="AE590" s="22"/>
    </row>
    <row r="591">
      <c r="A591" s="22"/>
      <c r="B591" s="22" t="str">
        <f>IF(ISBLANK(A591),"",VLOOKUP(A591,DOI_URL!$B$1:$C$74,2,FALSE()))</f>
        <v/>
      </c>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c r="AA591" s="22"/>
      <c r="AB591" s="22"/>
      <c r="AC591" s="22"/>
      <c r="AD591" s="22"/>
      <c r="AE591" s="22"/>
    </row>
    <row r="592">
      <c r="A592" s="22"/>
      <c r="B592" s="22" t="str">
        <f>IF(ISBLANK(A592),"",VLOOKUP(A592,DOI_URL!$B$1:$C$74,2,FALSE()))</f>
        <v/>
      </c>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c r="AA592" s="22"/>
      <c r="AB592" s="22"/>
      <c r="AC592" s="22"/>
      <c r="AD592" s="22"/>
      <c r="AE592" s="22"/>
    </row>
    <row r="593">
      <c r="A593" s="22"/>
      <c r="B593" s="22" t="str">
        <f>IF(ISBLANK(A593),"",VLOOKUP(A593,DOI_URL!$B$1:$C$74,2,FALSE()))</f>
        <v/>
      </c>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c r="AA593" s="22"/>
      <c r="AB593" s="22"/>
      <c r="AC593" s="22"/>
      <c r="AD593" s="22"/>
      <c r="AE593" s="22"/>
    </row>
    <row r="594">
      <c r="A594" s="22"/>
      <c r="B594" s="22" t="str">
        <f>IF(ISBLANK(A594),"",VLOOKUP(A594,DOI_URL!$B$1:$C$74,2,FALSE()))</f>
        <v/>
      </c>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c r="AA594" s="22"/>
      <c r="AB594" s="22"/>
      <c r="AC594" s="22"/>
      <c r="AD594" s="22"/>
      <c r="AE594" s="22"/>
    </row>
    <row r="595">
      <c r="A595" s="22"/>
      <c r="B595" s="22" t="str">
        <f>IF(ISBLANK(A595),"",VLOOKUP(A595,DOI_URL!$B$1:$C$74,2,FALSE()))</f>
        <v/>
      </c>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c r="AA595" s="22"/>
      <c r="AB595" s="22"/>
      <c r="AC595" s="22"/>
      <c r="AD595" s="22"/>
      <c r="AE595" s="22"/>
    </row>
    <row r="596">
      <c r="A596" s="22"/>
      <c r="B596" s="22" t="str">
        <f>IF(ISBLANK(A596),"",VLOOKUP(A596,DOI_URL!$B$1:$C$74,2,FALSE()))</f>
        <v/>
      </c>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c r="AA596" s="22"/>
      <c r="AB596" s="22"/>
      <c r="AC596" s="22"/>
      <c r="AD596" s="22"/>
      <c r="AE596" s="22"/>
    </row>
    <row r="597">
      <c r="A597" s="22"/>
      <c r="B597" s="22" t="str">
        <f>IF(ISBLANK(A597),"",VLOOKUP(A597,DOI_URL!$B$1:$C$74,2,FALSE()))</f>
        <v/>
      </c>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c r="AA597" s="22"/>
      <c r="AB597" s="22"/>
      <c r="AC597" s="22"/>
      <c r="AD597" s="22"/>
      <c r="AE597" s="22"/>
    </row>
    <row r="598">
      <c r="A598" s="22"/>
      <c r="B598" s="22" t="str">
        <f>IF(ISBLANK(A598),"",VLOOKUP(A598,DOI_URL!$B$1:$C$74,2,FALSE()))</f>
        <v/>
      </c>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c r="AA598" s="22"/>
      <c r="AB598" s="22"/>
      <c r="AC598" s="22"/>
      <c r="AD598" s="22"/>
      <c r="AE598" s="22"/>
    </row>
    <row r="599">
      <c r="A599" s="22"/>
      <c r="B599" s="22" t="str">
        <f>IF(ISBLANK(A599),"",VLOOKUP(A599,DOI_URL!$B$1:$C$74,2,FALSE()))</f>
        <v/>
      </c>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c r="AA599" s="22"/>
      <c r="AB599" s="22"/>
      <c r="AC599" s="22"/>
      <c r="AD599" s="22"/>
      <c r="AE599" s="22"/>
    </row>
    <row r="600">
      <c r="A600" s="22"/>
      <c r="B600" s="22" t="str">
        <f>IF(ISBLANK(A600),"",VLOOKUP(A600,DOI_URL!$B$1:$C$74,2,FALSE()))</f>
        <v/>
      </c>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row>
    <row r="601">
      <c r="A601" s="22"/>
      <c r="B601" s="22" t="str">
        <f>IF(ISBLANK(A601),"",VLOOKUP(A601,DOI_URL!$B$1:$C$74,2,FALSE()))</f>
        <v/>
      </c>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c r="AA601" s="22"/>
      <c r="AB601" s="22"/>
      <c r="AC601" s="22"/>
      <c r="AD601" s="22"/>
      <c r="AE601" s="22"/>
    </row>
    <row r="602">
      <c r="A602" s="22"/>
      <c r="B602" s="22" t="str">
        <f>IF(ISBLANK(A602),"",VLOOKUP(A602,DOI_URL!$B$1:$C$74,2,FALSE()))</f>
        <v/>
      </c>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c r="AA602" s="22"/>
      <c r="AB602" s="22"/>
      <c r="AC602" s="22"/>
      <c r="AD602" s="22"/>
      <c r="AE602" s="22"/>
    </row>
    <row r="603">
      <c r="A603" s="22"/>
      <c r="B603" s="22" t="str">
        <f>IF(ISBLANK(A603),"",VLOOKUP(A603,DOI_URL!$B$1:$C$74,2,FALSE()))</f>
        <v/>
      </c>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c r="AA603" s="22"/>
      <c r="AB603" s="22"/>
      <c r="AC603" s="22"/>
      <c r="AD603" s="22"/>
      <c r="AE603" s="22"/>
    </row>
    <row r="604">
      <c r="A604" s="22"/>
      <c r="B604" s="22" t="str">
        <f>IF(ISBLANK(A604),"",VLOOKUP(A604,DOI_URL!$B$1:$C$74,2,FALSE()))</f>
        <v/>
      </c>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c r="AA604" s="22"/>
      <c r="AB604" s="22"/>
      <c r="AC604" s="22"/>
      <c r="AD604" s="22"/>
      <c r="AE604" s="22"/>
    </row>
    <row r="605">
      <c r="A605" s="22"/>
      <c r="B605" s="22" t="str">
        <f>IF(ISBLANK(A605),"",VLOOKUP(A605,DOI_URL!$B$1:$C$74,2,FALSE()))</f>
        <v/>
      </c>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c r="AA605" s="22"/>
      <c r="AB605" s="22"/>
      <c r="AC605" s="22"/>
      <c r="AD605" s="22"/>
      <c r="AE605" s="22"/>
    </row>
    <row r="606">
      <c r="A606" s="22"/>
      <c r="B606" s="22" t="str">
        <f>IF(ISBLANK(A606),"",VLOOKUP(A606,DOI_URL!$B$1:$C$74,2,FALSE()))</f>
        <v/>
      </c>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c r="AA606" s="22"/>
      <c r="AB606" s="22"/>
      <c r="AC606" s="22"/>
      <c r="AD606" s="22"/>
      <c r="AE606" s="22"/>
    </row>
    <row r="607">
      <c r="A607" s="22"/>
      <c r="B607" s="22" t="str">
        <f>IF(ISBLANK(A607),"",VLOOKUP(A607,DOI_URL!$B$1:$C$74,2,FALSE()))</f>
        <v/>
      </c>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c r="AA607" s="22"/>
      <c r="AB607" s="22"/>
      <c r="AC607" s="22"/>
      <c r="AD607" s="22"/>
      <c r="AE607" s="22"/>
    </row>
    <row r="608">
      <c r="A608" s="22"/>
      <c r="B608" s="22" t="str">
        <f>IF(ISBLANK(A608),"",VLOOKUP(A608,DOI_URL!$B$1:$C$74,2,FALSE()))</f>
        <v/>
      </c>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c r="AA608" s="22"/>
      <c r="AB608" s="22"/>
      <c r="AC608" s="22"/>
      <c r="AD608" s="22"/>
      <c r="AE608" s="22"/>
    </row>
    <row r="609">
      <c r="A609" s="22"/>
      <c r="B609" s="22" t="str">
        <f>IF(ISBLANK(A609),"",VLOOKUP(A609,DOI_URL!$B$1:$C$74,2,FALSE()))</f>
        <v/>
      </c>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c r="AA609" s="22"/>
      <c r="AB609" s="22"/>
      <c r="AC609" s="22"/>
      <c r="AD609" s="22"/>
      <c r="AE609" s="22"/>
    </row>
    <row r="610">
      <c r="A610" s="22"/>
      <c r="B610" s="22" t="str">
        <f>IF(ISBLANK(A610),"",VLOOKUP(A610,DOI_URL!$B$1:$C$74,2,FALSE()))</f>
        <v/>
      </c>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c r="AA610" s="22"/>
      <c r="AB610" s="22"/>
      <c r="AC610" s="22"/>
      <c r="AD610" s="22"/>
      <c r="AE610" s="22"/>
    </row>
    <row r="611">
      <c r="A611" s="22"/>
      <c r="B611" s="22" t="str">
        <f>IF(ISBLANK(A611),"",VLOOKUP(A611,DOI_URL!$B$1:$C$74,2,FALSE()))</f>
        <v/>
      </c>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c r="AA611" s="22"/>
      <c r="AB611" s="22"/>
      <c r="AC611" s="22"/>
      <c r="AD611" s="22"/>
      <c r="AE611" s="22"/>
    </row>
    <row r="612">
      <c r="A612" s="22"/>
      <c r="B612" s="22" t="str">
        <f>IF(ISBLANK(A612),"",VLOOKUP(A612,DOI_URL!$B$1:$C$74,2,FALSE()))</f>
        <v/>
      </c>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c r="AA612" s="22"/>
      <c r="AB612" s="22"/>
      <c r="AC612" s="22"/>
      <c r="AD612" s="22"/>
      <c r="AE612" s="22"/>
    </row>
    <row r="613">
      <c r="A613" s="22"/>
      <c r="B613" s="22" t="str">
        <f>IF(ISBLANK(A613),"",VLOOKUP(A613,DOI_URL!$B$1:$C$74,2,FALSE()))</f>
        <v/>
      </c>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c r="AA613" s="22"/>
      <c r="AB613" s="22"/>
      <c r="AC613" s="22"/>
      <c r="AD613" s="22"/>
      <c r="AE613" s="22"/>
    </row>
    <row r="614">
      <c r="A614" s="22"/>
      <c r="B614" s="22" t="str">
        <f>IF(ISBLANK(A614),"",VLOOKUP(A614,DOI_URL!$B$1:$C$74,2,FALSE()))</f>
        <v/>
      </c>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c r="AA614" s="22"/>
      <c r="AB614" s="22"/>
      <c r="AC614" s="22"/>
      <c r="AD614" s="22"/>
      <c r="AE614" s="22"/>
    </row>
    <row r="615">
      <c r="A615" s="22"/>
      <c r="B615" s="22" t="str">
        <f>IF(ISBLANK(A615),"",VLOOKUP(A615,DOI_URL!$B$1:$C$74,2,FALSE()))</f>
        <v/>
      </c>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c r="AA615" s="22"/>
      <c r="AB615" s="22"/>
      <c r="AC615" s="22"/>
      <c r="AD615" s="22"/>
      <c r="AE615" s="22"/>
    </row>
    <row r="616">
      <c r="A616" s="22"/>
      <c r="B616" s="22" t="str">
        <f>IF(ISBLANK(A616),"",VLOOKUP(A616,DOI_URL!$B$1:$C$74,2,FALSE()))</f>
        <v/>
      </c>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c r="AA616" s="22"/>
      <c r="AB616" s="22"/>
      <c r="AC616" s="22"/>
      <c r="AD616" s="22"/>
      <c r="AE616" s="22"/>
    </row>
    <row r="617">
      <c r="A617" s="22"/>
      <c r="B617" s="22" t="str">
        <f>IF(ISBLANK(A617),"",VLOOKUP(A617,DOI_URL!$B$1:$C$74,2,FALSE()))</f>
        <v/>
      </c>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c r="AA617" s="22"/>
      <c r="AB617" s="22"/>
      <c r="AC617" s="22"/>
      <c r="AD617" s="22"/>
      <c r="AE617" s="22"/>
    </row>
    <row r="618">
      <c r="A618" s="22"/>
      <c r="B618" s="22" t="str">
        <f>IF(ISBLANK(A618),"",VLOOKUP(A618,DOI_URL!$B$1:$C$74,2,FALSE()))</f>
        <v/>
      </c>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c r="AA618" s="22"/>
      <c r="AB618" s="22"/>
      <c r="AC618" s="22"/>
      <c r="AD618" s="22"/>
      <c r="AE618" s="22"/>
    </row>
    <row r="619">
      <c r="A619" s="22"/>
      <c r="B619" s="22" t="str">
        <f>IF(ISBLANK(A619),"",VLOOKUP(A619,DOI_URL!$B$1:$C$74,2,FALSE()))</f>
        <v/>
      </c>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c r="AA619" s="22"/>
      <c r="AB619" s="22"/>
      <c r="AC619" s="22"/>
      <c r="AD619" s="22"/>
      <c r="AE619" s="22"/>
    </row>
    <row r="620">
      <c r="A620" s="22"/>
      <c r="B620" s="22" t="str">
        <f>IF(ISBLANK(A620),"",VLOOKUP(A620,DOI_URL!$B$1:$C$74,2,FALSE()))</f>
        <v/>
      </c>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c r="AA620" s="22"/>
      <c r="AB620" s="22"/>
      <c r="AC620" s="22"/>
      <c r="AD620" s="22"/>
      <c r="AE620" s="22"/>
    </row>
    <row r="621">
      <c r="A621" s="22"/>
      <c r="B621" s="22" t="str">
        <f>IF(ISBLANK(A621),"",VLOOKUP(A621,DOI_URL!$B$1:$C$74,2,FALSE()))</f>
        <v/>
      </c>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c r="AA621" s="22"/>
      <c r="AB621" s="22"/>
      <c r="AC621" s="22"/>
      <c r="AD621" s="22"/>
      <c r="AE621" s="22"/>
    </row>
    <row r="622">
      <c r="A622" s="22"/>
      <c r="B622" s="22" t="str">
        <f>IF(ISBLANK(A622),"",VLOOKUP(A622,DOI_URL!$B$1:$C$74,2,FALSE()))</f>
        <v/>
      </c>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c r="AA622" s="22"/>
      <c r="AB622" s="22"/>
      <c r="AC622" s="22"/>
      <c r="AD622" s="22"/>
      <c r="AE622" s="22"/>
    </row>
    <row r="623">
      <c r="A623" s="22"/>
      <c r="B623" s="22" t="str">
        <f>IF(ISBLANK(A623),"",VLOOKUP(A623,DOI_URL!$B$1:$C$74,2,FALSE()))</f>
        <v/>
      </c>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c r="AA623" s="22"/>
      <c r="AB623" s="22"/>
      <c r="AC623" s="22"/>
      <c r="AD623" s="22"/>
      <c r="AE623" s="22"/>
    </row>
    <row r="624">
      <c r="A624" s="22"/>
      <c r="B624" s="22" t="str">
        <f>IF(ISBLANK(A624),"",VLOOKUP(A624,DOI_URL!$B$1:$C$74,2,FALSE()))</f>
        <v/>
      </c>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c r="AA624" s="22"/>
      <c r="AB624" s="22"/>
      <c r="AC624" s="22"/>
      <c r="AD624" s="22"/>
      <c r="AE624" s="22"/>
    </row>
    <row r="625">
      <c r="A625" s="22"/>
      <c r="B625" s="22" t="str">
        <f>IF(ISBLANK(A625),"",VLOOKUP(A625,DOI_URL!$B$1:$C$74,2,FALSE()))</f>
        <v/>
      </c>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row>
    <row r="626">
      <c r="A626" s="22"/>
      <c r="B626" s="22" t="str">
        <f>IF(ISBLANK(A626),"",VLOOKUP(A626,DOI_URL!$B$1:$C$74,2,FALSE()))</f>
        <v/>
      </c>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c r="AA626" s="22"/>
      <c r="AB626" s="22"/>
      <c r="AC626" s="22"/>
      <c r="AD626" s="22"/>
      <c r="AE626" s="22"/>
    </row>
    <row r="627">
      <c r="A627" s="22"/>
      <c r="B627" s="22" t="str">
        <f>IF(ISBLANK(A627),"",VLOOKUP(A627,DOI_URL!$B$1:$C$74,2,FALSE()))</f>
        <v/>
      </c>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c r="AA627" s="22"/>
      <c r="AB627" s="22"/>
      <c r="AC627" s="22"/>
      <c r="AD627" s="22"/>
      <c r="AE627" s="22"/>
    </row>
    <row r="628">
      <c r="A628" s="22"/>
      <c r="B628" s="22" t="str">
        <f>IF(ISBLANK(A628),"",VLOOKUP(A628,DOI_URL!$B$1:$C$74,2,FALSE()))</f>
        <v/>
      </c>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c r="AA628" s="22"/>
      <c r="AB628" s="22"/>
      <c r="AC628" s="22"/>
      <c r="AD628" s="22"/>
      <c r="AE628" s="22"/>
    </row>
    <row r="629">
      <c r="A629" s="22"/>
      <c r="B629" s="22" t="str">
        <f>IF(ISBLANK(A629),"",VLOOKUP(A629,DOI_URL!$B$1:$C$74,2,FALSE()))</f>
        <v/>
      </c>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c r="AA629" s="22"/>
      <c r="AB629" s="22"/>
      <c r="AC629" s="22"/>
      <c r="AD629" s="22"/>
      <c r="AE629" s="22"/>
    </row>
    <row r="630">
      <c r="A630" s="22"/>
      <c r="B630" s="22" t="str">
        <f>IF(ISBLANK(A630),"",VLOOKUP(A630,DOI_URL!$B$1:$C$74,2,FALSE()))</f>
        <v/>
      </c>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c r="AA630" s="22"/>
      <c r="AB630" s="22"/>
      <c r="AC630" s="22"/>
      <c r="AD630" s="22"/>
      <c r="AE630" s="22"/>
    </row>
    <row r="631">
      <c r="A631" s="22"/>
      <c r="B631" s="22" t="str">
        <f>IF(ISBLANK(A631),"",VLOOKUP(A631,DOI_URL!$B$1:$C$74,2,FALSE()))</f>
        <v/>
      </c>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c r="AA631" s="22"/>
      <c r="AB631" s="22"/>
      <c r="AC631" s="22"/>
      <c r="AD631" s="22"/>
      <c r="AE631" s="22"/>
    </row>
    <row r="632">
      <c r="A632" s="22"/>
      <c r="B632" s="22" t="str">
        <f>IF(ISBLANK(A632),"",VLOOKUP(A632,DOI_URL!$B$1:$C$74,2,FALSE()))</f>
        <v/>
      </c>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c r="AA632" s="22"/>
      <c r="AB632" s="22"/>
      <c r="AC632" s="22"/>
      <c r="AD632" s="22"/>
      <c r="AE632" s="22"/>
    </row>
    <row r="633">
      <c r="A633" s="22"/>
      <c r="B633" s="22" t="str">
        <f>IF(ISBLANK(A633),"",VLOOKUP(A633,DOI_URL!$B$1:$C$74,2,FALSE()))</f>
        <v/>
      </c>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c r="AA633" s="22"/>
      <c r="AB633" s="22"/>
      <c r="AC633" s="22"/>
      <c r="AD633" s="22"/>
      <c r="AE633" s="22"/>
    </row>
    <row r="634">
      <c r="A634" s="22"/>
      <c r="B634" s="22" t="str">
        <f>IF(ISBLANK(A634),"",VLOOKUP(A634,DOI_URL!$B$1:$C$74,2,FALSE()))</f>
        <v/>
      </c>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c r="AA634" s="22"/>
      <c r="AB634" s="22"/>
      <c r="AC634" s="22"/>
      <c r="AD634" s="22"/>
      <c r="AE634" s="22"/>
    </row>
    <row r="635">
      <c r="A635" s="22"/>
      <c r="B635" s="22" t="str">
        <f>IF(ISBLANK(A635),"",VLOOKUP(A635,DOI_URL!$B$1:$C$74,2,FALSE()))</f>
        <v/>
      </c>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c r="AA635" s="22"/>
      <c r="AB635" s="22"/>
      <c r="AC635" s="22"/>
      <c r="AD635" s="22"/>
      <c r="AE635" s="22"/>
    </row>
    <row r="636">
      <c r="A636" s="22"/>
      <c r="B636" s="22" t="str">
        <f>IF(ISBLANK(A636),"",VLOOKUP(A636,DOI_URL!$B$1:$C$74,2,FALSE()))</f>
        <v/>
      </c>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c r="AA636" s="22"/>
      <c r="AB636" s="22"/>
      <c r="AC636" s="22"/>
      <c r="AD636" s="22"/>
      <c r="AE636" s="22"/>
    </row>
    <row r="637">
      <c r="A637" s="22"/>
      <c r="B637" s="22" t="str">
        <f>IF(ISBLANK(A637),"",VLOOKUP(A637,DOI_URL!$B$1:$C$74,2,FALSE()))</f>
        <v/>
      </c>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c r="AA637" s="22"/>
      <c r="AB637" s="22"/>
      <c r="AC637" s="22"/>
      <c r="AD637" s="22"/>
      <c r="AE637" s="22"/>
    </row>
    <row r="638">
      <c r="A638" s="22"/>
      <c r="B638" s="22" t="str">
        <f>IF(ISBLANK(A638),"",VLOOKUP(A638,DOI_URL!$B$1:$C$74,2,FALSE()))</f>
        <v/>
      </c>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c r="AA638" s="22"/>
      <c r="AB638" s="22"/>
      <c r="AC638" s="22"/>
      <c r="AD638" s="22"/>
      <c r="AE638" s="22"/>
    </row>
    <row r="639">
      <c r="A639" s="22"/>
      <c r="B639" s="22" t="str">
        <f>IF(ISBLANK(A639),"",VLOOKUP(A639,DOI_URL!$B$1:$C$74,2,FALSE()))</f>
        <v/>
      </c>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c r="AA639" s="22"/>
      <c r="AB639" s="22"/>
      <c r="AC639" s="22"/>
      <c r="AD639" s="22"/>
      <c r="AE639" s="22"/>
    </row>
    <row r="640">
      <c r="A640" s="22"/>
      <c r="B640" s="22" t="str">
        <f>IF(ISBLANK(A640),"",VLOOKUP(A640,DOI_URL!$B$1:$C$74,2,FALSE()))</f>
        <v/>
      </c>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c r="AA640" s="22"/>
      <c r="AB640" s="22"/>
      <c r="AC640" s="22"/>
      <c r="AD640" s="22"/>
      <c r="AE640" s="22"/>
    </row>
    <row r="641">
      <c r="A641" s="22"/>
      <c r="B641" s="22" t="str">
        <f>IF(ISBLANK(A641),"",VLOOKUP(A641,DOI_URL!$B$1:$C$74,2,FALSE()))</f>
        <v/>
      </c>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c r="AA641" s="22"/>
      <c r="AB641" s="22"/>
      <c r="AC641" s="22"/>
      <c r="AD641" s="22"/>
      <c r="AE641" s="22"/>
    </row>
    <row r="642">
      <c r="A642" s="22"/>
      <c r="B642" s="22" t="str">
        <f>IF(ISBLANK(A642),"",VLOOKUP(A642,DOI_URL!$B$1:$C$74,2,FALSE()))</f>
        <v/>
      </c>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c r="AA642" s="22"/>
      <c r="AB642" s="22"/>
      <c r="AC642" s="22"/>
      <c r="AD642" s="22"/>
      <c r="AE642" s="22"/>
    </row>
    <row r="643">
      <c r="A643" s="22"/>
      <c r="B643" s="22" t="str">
        <f>IF(ISBLANK(A643),"",VLOOKUP(A643,DOI_URL!$B$1:$C$74,2,FALSE()))</f>
        <v/>
      </c>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c r="AA643" s="22"/>
      <c r="AB643" s="22"/>
      <c r="AC643" s="22"/>
      <c r="AD643" s="22"/>
      <c r="AE643" s="22"/>
    </row>
    <row r="644">
      <c r="A644" s="22"/>
      <c r="B644" s="22" t="str">
        <f>IF(ISBLANK(A644),"",VLOOKUP(A644,DOI_URL!$B$1:$C$74,2,FALSE()))</f>
        <v/>
      </c>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c r="AA644" s="22"/>
      <c r="AB644" s="22"/>
      <c r="AC644" s="22"/>
      <c r="AD644" s="22"/>
      <c r="AE644" s="22"/>
    </row>
    <row r="645">
      <c r="A645" s="22"/>
      <c r="B645" s="22" t="str">
        <f>IF(ISBLANK(A645),"",VLOOKUP(A645,DOI_URL!$B$1:$C$74,2,FALSE()))</f>
        <v/>
      </c>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c r="AA645" s="22"/>
      <c r="AB645" s="22"/>
      <c r="AC645" s="22"/>
      <c r="AD645" s="22"/>
      <c r="AE645" s="22"/>
    </row>
    <row r="646">
      <c r="A646" s="22"/>
      <c r="B646" s="22" t="str">
        <f>IF(ISBLANK(A646),"",VLOOKUP(A646,DOI_URL!$B$1:$C$74,2,FALSE()))</f>
        <v/>
      </c>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c r="AA646" s="22"/>
      <c r="AB646" s="22"/>
      <c r="AC646" s="22"/>
      <c r="AD646" s="22"/>
      <c r="AE646" s="22"/>
    </row>
    <row r="647">
      <c r="A647" s="22"/>
      <c r="B647" s="22" t="str">
        <f>IF(ISBLANK(A647),"",VLOOKUP(A647,DOI_URL!$B$1:$C$74,2,FALSE()))</f>
        <v/>
      </c>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c r="AA647" s="22"/>
      <c r="AB647" s="22"/>
      <c r="AC647" s="22"/>
      <c r="AD647" s="22"/>
      <c r="AE647" s="22"/>
    </row>
    <row r="648">
      <c r="A648" s="22"/>
      <c r="B648" s="22" t="str">
        <f>IF(ISBLANK(A648),"",VLOOKUP(A648,DOI_URL!$B$1:$C$74,2,FALSE()))</f>
        <v/>
      </c>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c r="AA648" s="22"/>
      <c r="AB648" s="22"/>
      <c r="AC648" s="22"/>
      <c r="AD648" s="22"/>
      <c r="AE648" s="22"/>
    </row>
    <row r="649">
      <c r="A649" s="22"/>
      <c r="B649" s="22" t="str">
        <f>IF(ISBLANK(A649),"",VLOOKUP(A649,DOI_URL!$B$1:$C$74,2,FALSE()))</f>
        <v/>
      </c>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c r="AA649" s="22"/>
      <c r="AB649" s="22"/>
      <c r="AC649" s="22"/>
      <c r="AD649" s="22"/>
      <c r="AE649" s="22"/>
    </row>
    <row r="650">
      <c r="A650" s="22"/>
      <c r="B650" s="22" t="str">
        <f>IF(ISBLANK(A650),"",VLOOKUP(A650,DOI_URL!$B$1:$C$74,2,FALSE()))</f>
        <v/>
      </c>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row>
    <row r="651">
      <c r="A651" s="22"/>
      <c r="B651" s="22" t="str">
        <f>IF(ISBLANK(A651),"",VLOOKUP(A651,DOI_URL!$B$1:$C$74,2,FALSE()))</f>
        <v/>
      </c>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c r="AA651" s="22"/>
      <c r="AB651" s="22"/>
      <c r="AC651" s="22"/>
      <c r="AD651" s="22"/>
      <c r="AE651" s="22"/>
    </row>
    <row r="652">
      <c r="A652" s="22"/>
      <c r="B652" s="22" t="str">
        <f>IF(ISBLANK(A652),"",VLOOKUP(A652,DOI_URL!$B$1:$C$74,2,FALSE()))</f>
        <v/>
      </c>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c r="AA652" s="22"/>
      <c r="AB652" s="22"/>
      <c r="AC652" s="22"/>
      <c r="AD652" s="22"/>
      <c r="AE652" s="22"/>
    </row>
    <row r="653">
      <c r="A653" s="22"/>
      <c r="B653" s="22" t="str">
        <f>IF(ISBLANK(A653),"",VLOOKUP(A653,DOI_URL!$B$1:$C$74,2,FALSE()))</f>
        <v/>
      </c>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c r="AA653" s="22"/>
      <c r="AB653" s="22"/>
      <c r="AC653" s="22"/>
      <c r="AD653" s="22"/>
      <c r="AE653" s="22"/>
    </row>
    <row r="654">
      <c r="A654" s="22"/>
      <c r="B654" s="22" t="str">
        <f>IF(ISBLANK(A654),"",VLOOKUP(A654,DOI_URL!$B$1:$C$74,2,FALSE()))</f>
        <v/>
      </c>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c r="AA654" s="22"/>
      <c r="AB654" s="22"/>
      <c r="AC654" s="22"/>
      <c r="AD654" s="22"/>
      <c r="AE654" s="22"/>
    </row>
    <row r="655">
      <c r="A655" s="22"/>
      <c r="B655" s="22" t="str">
        <f>IF(ISBLANK(A655),"",VLOOKUP(A655,DOI_URL!$B$1:$C$74,2,FALSE()))</f>
        <v/>
      </c>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c r="AA655" s="22"/>
      <c r="AB655" s="22"/>
      <c r="AC655" s="22"/>
      <c r="AD655" s="22"/>
      <c r="AE655" s="22"/>
    </row>
    <row r="656">
      <c r="A656" s="22"/>
      <c r="B656" s="22" t="str">
        <f>IF(ISBLANK(A656),"",VLOOKUP(A656,DOI_URL!$B$1:$C$74,2,FALSE()))</f>
        <v/>
      </c>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c r="AA656" s="22"/>
      <c r="AB656" s="22"/>
      <c r="AC656" s="22"/>
      <c r="AD656" s="22"/>
      <c r="AE656" s="22"/>
    </row>
    <row r="657">
      <c r="A657" s="22"/>
      <c r="B657" s="22" t="str">
        <f>IF(ISBLANK(A657),"",VLOOKUP(A657,DOI_URL!$B$1:$C$74,2,FALSE()))</f>
        <v/>
      </c>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c r="AA657" s="22"/>
      <c r="AB657" s="22"/>
      <c r="AC657" s="22"/>
      <c r="AD657" s="22"/>
      <c r="AE657" s="22"/>
    </row>
    <row r="658">
      <c r="A658" s="22"/>
      <c r="B658" s="22" t="str">
        <f>IF(ISBLANK(A658),"",VLOOKUP(A658,DOI_URL!$B$1:$C$74,2,FALSE()))</f>
        <v/>
      </c>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c r="AA658" s="22"/>
      <c r="AB658" s="22"/>
      <c r="AC658" s="22"/>
      <c r="AD658" s="22"/>
      <c r="AE658" s="22"/>
    </row>
    <row r="659">
      <c r="A659" s="22"/>
      <c r="B659" s="22" t="str">
        <f>IF(ISBLANK(A659),"",VLOOKUP(A659,DOI_URL!$B$1:$C$74,2,FALSE()))</f>
        <v/>
      </c>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c r="AA659" s="22"/>
      <c r="AB659" s="22"/>
      <c r="AC659" s="22"/>
      <c r="AD659" s="22"/>
      <c r="AE659" s="22"/>
    </row>
    <row r="660">
      <c r="A660" s="22"/>
      <c r="B660" s="22" t="str">
        <f>IF(ISBLANK(A660),"",VLOOKUP(A660,DOI_URL!$B$1:$C$74,2,FALSE()))</f>
        <v/>
      </c>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c r="AA660" s="22"/>
      <c r="AB660" s="22"/>
      <c r="AC660" s="22"/>
      <c r="AD660" s="22"/>
      <c r="AE660" s="22"/>
    </row>
    <row r="661">
      <c r="A661" s="22"/>
      <c r="B661" s="22" t="str">
        <f>IF(ISBLANK(A661),"",VLOOKUP(A661,DOI_URL!$B$1:$C$74,2,FALSE()))</f>
        <v/>
      </c>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c r="AA661" s="22"/>
      <c r="AB661" s="22"/>
      <c r="AC661" s="22"/>
      <c r="AD661" s="22"/>
      <c r="AE661" s="22"/>
    </row>
    <row r="662">
      <c r="A662" s="22"/>
      <c r="B662" s="22" t="str">
        <f>IF(ISBLANK(A662),"",VLOOKUP(A662,DOI_URL!$B$1:$C$74,2,FALSE()))</f>
        <v/>
      </c>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c r="AA662" s="22"/>
      <c r="AB662" s="22"/>
      <c r="AC662" s="22"/>
      <c r="AD662" s="22"/>
      <c r="AE662" s="22"/>
    </row>
    <row r="663">
      <c r="A663" s="22"/>
      <c r="B663" s="22" t="str">
        <f>IF(ISBLANK(A663),"",VLOOKUP(A663,DOI_URL!$B$1:$C$74,2,FALSE()))</f>
        <v/>
      </c>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c r="AA663" s="22"/>
      <c r="AB663" s="22"/>
      <c r="AC663" s="22"/>
      <c r="AD663" s="22"/>
      <c r="AE663" s="22"/>
    </row>
    <row r="664">
      <c r="A664" s="22"/>
      <c r="B664" s="22" t="str">
        <f>IF(ISBLANK(A664),"",VLOOKUP(A664,DOI_URL!$B$1:$C$74,2,FALSE()))</f>
        <v/>
      </c>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c r="AA664" s="22"/>
      <c r="AB664" s="22"/>
      <c r="AC664" s="22"/>
      <c r="AD664" s="22"/>
      <c r="AE664" s="22"/>
    </row>
    <row r="665">
      <c r="A665" s="22"/>
      <c r="B665" s="22" t="str">
        <f>IF(ISBLANK(A665),"",VLOOKUP(A665,DOI_URL!$B$1:$C$74,2,FALSE()))</f>
        <v/>
      </c>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c r="AA665" s="22"/>
      <c r="AB665" s="22"/>
      <c r="AC665" s="22"/>
      <c r="AD665" s="22"/>
      <c r="AE665" s="22"/>
    </row>
    <row r="666">
      <c r="A666" s="22"/>
      <c r="B666" s="22" t="str">
        <f>IF(ISBLANK(A666),"",VLOOKUP(A666,DOI_URL!$B$1:$C$74,2,FALSE()))</f>
        <v/>
      </c>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c r="AA666" s="22"/>
      <c r="AB666" s="22"/>
      <c r="AC666" s="22"/>
      <c r="AD666" s="22"/>
      <c r="AE666" s="22"/>
    </row>
    <row r="667">
      <c r="A667" s="22"/>
      <c r="B667" s="22" t="str">
        <f>IF(ISBLANK(A667),"",VLOOKUP(A667,DOI_URL!$B$1:$C$74,2,FALSE()))</f>
        <v/>
      </c>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c r="AA667" s="22"/>
      <c r="AB667" s="22"/>
      <c r="AC667" s="22"/>
      <c r="AD667" s="22"/>
      <c r="AE667" s="22"/>
    </row>
    <row r="668">
      <c r="A668" s="22"/>
      <c r="B668" s="22" t="str">
        <f>IF(ISBLANK(A668),"",VLOOKUP(A668,DOI_URL!$B$1:$C$74,2,FALSE()))</f>
        <v/>
      </c>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c r="AA668" s="22"/>
      <c r="AB668" s="22"/>
      <c r="AC668" s="22"/>
      <c r="AD668" s="22"/>
      <c r="AE668" s="22"/>
    </row>
    <row r="669">
      <c r="A669" s="22"/>
      <c r="B669" s="22" t="str">
        <f>IF(ISBLANK(A669),"",VLOOKUP(A669,DOI_URL!$B$1:$C$74,2,FALSE()))</f>
        <v/>
      </c>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c r="AA669" s="22"/>
      <c r="AB669" s="22"/>
      <c r="AC669" s="22"/>
      <c r="AD669" s="22"/>
      <c r="AE669" s="22"/>
    </row>
    <row r="670">
      <c r="A670" s="22"/>
      <c r="B670" s="22" t="str">
        <f>IF(ISBLANK(A670),"",VLOOKUP(A670,DOI_URL!$B$1:$C$74,2,FALSE()))</f>
        <v/>
      </c>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c r="AA670" s="22"/>
      <c r="AB670" s="22"/>
      <c r="AC670" s="22"/>
      <c r="AD670" s="22"/>
      <c r="AE670" s="22"/>
    </row>
    <row r="671">
      <c r="A671" s="22"/>
      <c r="B671" s="22" t="str">
        <f>IF(ISBLANK(A671),"",VLOOKUP(A671,DOI_URL!$B$1:$C$74,2,FALSE()))</f>
        <v/>
      </c>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c r="AA671" s="22"/>
      <c r="AB671" s="22"/>
      <c r="AC671" s="22"/>
      <c r="AD671" s="22"/>
      <c r="AE671" s="22"/>
    </row>
    <row r="672">
      <c r="A672" s="22"/>
      <c r="B672" s="22" t="str">
        <f>IF(ISBLANK(A672),"",VLOOKUP(A672,DOI_URL!$B$1:$C$74,2,FALSE()))</f>
        <v/>
      </c>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c r="AA672" s="22"/>
      <c r="AB672" s="22"/>
      <c r="AC672" s="22"/>
      <c r="AD672" s="22"/>
      <c r="AE672" s="22"/>
    </row>
    <row r="673">
      <c r="A673" s="22"/>
      <c r="B673" s="22" t="str">
        <f>IF(ISBLANK(A673),"",VLOOKUP(A673,DOI_URL!$B$1:$C$74,2,FALSE()))</f>
        <v/>
      </c>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c r="AA673" s="22"/>
      <c r="AB673" s="22"/>
      <c r="AC673" s="22"/>
      <c r="AD673" s="22"/>
      <c r="AE673" s="22"/>
    </row>
    <row r="674">
      <c r="A674" s="22"/>
      <c r="B674" s="22" t="str">
        <f>IF(ISBLANK(A674),"",VLOOKUP(A674,DOI_URL!$B$1:$C$74,2,FALSE()))</f>
        <v/>
      </c>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c r="AA674" s="22"/>
      <c r="AB674" s="22"/>
      <c r="AC674" s="22"/>
      <c r="AD674" s="22"/>
      <c r="AE674" s="22"/>
    </row>
    <row r="675">
      <c r="A675" s="22"/>
      <c r="B675" s="22" t="str">
        <f>IF(ISBLANK(A675),"",VLOOKUP(A675,DOI_URL!$B$1:$C$74,2,FALSE()))</f>
        <v/>
      </c>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row>
    <row r="676">
      <c r="A676" s="22"/>
      <c r="B676" s="22" t="str">
        <f>IF(ISBLANK(A676),"",VLOOKUP(A676,DOI_URL!$B$1:$C$74,2,FALSE()))</f>
        <v/>
      </c>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c r="AA676" s="22"/>
      <c r="AB676" s="22"/>
      <c r="AC676" s="22"/>
      <c r="AD676" s="22"/>
      <c r="AE676" s="22"/>
    </row>
    <row r="677">
      <c r="A677" s="22"/>
      <c r="B677" s="22" t="str">
        <f>IF(ISBLANK(A677),"",VLOOKUP(A677,DOI_URL!$B$1:$C$74,2,FALSE()))</f>
        <v/>
      </c>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c r="AA677" s="22"/>
      <c r="AB677" s="22"/>
      <c r="AC677" s="22"/>
      <c r="AD677" s="22"/>
      <c r="AE677" s="22"/>
    </row>
    <row r="678">
      <c r="A678" s="22"/>
      <c r="B678" s="22" t="str">
        <f>IF(ISBLANK(A678),"",VLOOKUP(A678,DOI_URL!$B$1:$C$74,2,FALSE()))</f>
        <v/>
      </c>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c r="AA678" s="22"/>
      <c r="AB678" s="22"/>
      <c r="AC678" s="22"/>
      <c r="AD678" s="22"/>
      <c r="AE678" s="22"/>
    </row>
    <row r="679">
      <c r="A679" s="22"/>
      <c r="B679" s="22" t="str">
        <f>IF(ISBLANK(A679),"",VLOOKUP(A679,DOI_URL!$B$1:$C$74,2,FALSE()))</f>
        <v/>
      </c>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c r="AA679" s="22"/>
      <c r="AB679" s="22"/>
      <c r="AC679" s="22"/>
      <c r="AD679" s="22"/>
      <c r="AE679" s="22"/>
    </row>
    <row r="680">
      <c r="A680" s="22"/>
      <c r="B680" s="22" t="str">
        <f>IF(ISBLANK(A680),"",VLOOKUP(A680,DOI_URL!$B$1:$C$74,2,FALSE()))</f>
        <v/>
      </c>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c r="AA680" s="22"/>
      <c r="AB680" s="22"/>
      <c r="AC680" s="22"/>
      <c r="AD680" s="22"/>
      <c r="AE680" s="22"/>
    </row>
    <row r="681">
      <c r="A681" s="22"/>
      <c r="B681" s="22" t="str">
        <f>IF(ISBLANK(A681),"",VLOOKUP(A681,DOI_URL!$B$1:$C$74,2,FALSE()))</f>
        <v/>
      </c>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c r="AA681" s="22"/>
      <c r="AB681" s="22"/>
      <c r="AC681" s="22"/>
      <c r="AD681" s="22"/>
      <c r="AE681" s="22"/>
    </row>
    <row r="682">
      <c r="A682" s="22"/>
      <c r="B682" s="22" t="str">
        <f>IF(ISBLANK(A682),"",VLOOKUP(A682,DOI_URL!$B$1:$C$74,2,FALSE()))</f>
        <v/>
      </c>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c r="AA682" s="22"/>
      <c r="AB682" s="22"/>
      <c r="AC682" s="22"/>
      <c r="AD682" s="22"/>
      <c r="AE682" s="22"/>
    </row>
    <row r="683">
      <c r="A683" s="22"/>
      <c r="B683" s="22" t="str">
        <f>IF(ISBLANK(A683),"",VLOOKUP(A683,DOI_URL!$B$1:$C$74,2,FALSE()))</f>
        <v/>
      </c>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c r="AA683" s="22"/>
      <c r="AB683" s="22"/>
      <c r="AC683" s="22"/>
      <c r="AD683" s="22"/>
      <c r="AE683" s="22"/>
    </row>
    <row r="684">
      <c r="A684" s="22"/>
      <c r="B684" s="22" t="str">
        <f>IF(ISBLANK(A684),"",VLOOKUP(A684,DOI_URL!$B$1:$C$74,2,FALSE()))</f>
        <v/>
      </c>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c r="AA684" s="22"/>
      <c r="AB684" s="22"/>
      <c r="AC684" s="22"/>
      <c r="AD684" s="22"/>
      <c r="AE684" s="22"/>
    </row>
    <row r="685">
      <c r="A685" s="22"/>
      <c r="B685" s="22" t="str">
        <f>IF(ISBLANK(A685),"",VLOOKUP(A685,DOI_URL!$B$1:$C$74,2,FALSE()))</f>
        <v/>
      </c>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c r="AA685" s="22"/>
      <c r="AB685" s="22"/>
      <c r="AC685" s="22"/>
      <c r="AD685" s="22"/>
      <c r="AE685" s="22"/>
    </row>
    <row r="686">
      <c r="A686" s="22"/>
      <c r="B686" s="22" t="str">
        <f>IF(ISBLANK(A686),"",VLOOKUP(A686,DOI_URL!$B$1:$C$74,2,FALSE()))</f>
        <v/>
      </c>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c r="AA686" s="22"/>
      <c r="AB686" s="22"/>
      <c r="AC686" s="22"/>
      <c r="AD686" s="22"/>
      <c r="AE686" s="22"/>
    </row>
    <row r="687">
      <c r="A687" s="22"/>
      <c r="B687" s="22" t="str">
        <f>IF(ISBLANK(A687),"",VLOOKUP(A687,DOI_URL!$B$1:$C$74,2,FALSE()))</f>
        <v/>
      </c>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c r="AA687" s="22"/>
      <c r="AB687" s="22"/>
      <c r="AC687" s="22"/>
      <c r="AD687" s="22"/>
      <c r="AE687" s="22"/>
    </row>
    <row r="688">
      <c r="A688" s="22"/>
      <c r="B688" s="22" t="str">
        <f>IF(ISBLANK(A688),"",VLOOKUP(A688,DOI_URL!$B$1:$C$74,2,FALSE()))</f>
        <v/>
      </c>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c r="AA688" s="22"/>
      <c r="AB688" s="22"/>
      <c r="AC688" s="22"/>
      <c r="AD688" s="22"/>
      <c r="AE688" s="22"/>
    </row>
    <row r="689">
      <c r="A689" s="22"/>
      <c r="B689" s="22" t="str">
        <f>IF(ISBLANK(A689),"",VLOOKUP(A689,DOI_URL!$B$1:$C$74,2,FALSE()))</f>
        <v/>
      </c>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c r="AA689" s="22"/>
      <c r="AB689" s="22"/>
      <c r="AC689" s="22"/>
      <c r="AD689" s="22"/>
      <c r="AE689" s="22"/>
    </row>
    <row r="690">
      <c r="A690" s="22"/>
      <c r="B690" s="22" t="str">
        <f>IF(ISBLANK(A690),"",VLOOKUP(A690,DOI_URL!$B$1:$C$74,2,FALSE()))</f>
        <v/>
      </c>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c r="AA690" s="22"/>
      <c r="AB690" s="22"/>
      <c r="AC690" s="22"/>
      <c r="AD690" s="22"/>
      <c r="AE690" s="22"/>
    </row>
    <row r="691">
      <c r="A691" s="22"/>
      <c r="B691" s="22" t="str">
        <f>IF(ISBLANK(A691),"",VLOOKUP(A691,DOI_URL!$B$1:$C$74,2,FALSE()))</f>
        <v/>
      </c>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c r="AA691" s="22"/>
      <c r="AB691" s="22"/>
      <c r="AC691" s="22"/>
      <c r="AD691" s="22"/>
      <c r="AE691" s="22"/>
    </row>
    <row r="692">
      <c r="A692" s="22"/>
      <c r="B692" s="22" t="str">
        <f>IF(ISBLANK(A692),"",VLOOKUP(A692,DOI_URL!$B$1:$C$74,2,FALSE()))</f>
        <v/>
      </c>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c r="AA692" s="22"/>
      <c r="AB692" s="22"/>
      <c r="AC692" s="22"/>
      <c r="AD692" s="22"/>
      <c r="AE692" s="22"/>
    </row>
    <row r="693">
      <c r="A693" s="22"/>
      <c r="B693" s="22" t="str">
        <f>IF(ISBLANK(A693),"",VLOOKUP(A693,DOI_URL!$B$1:$C$74,2,FALSE()))</f>
        <v/>
      </c>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c r="AA693" s="22"/>
      <c r="AB693" s="22"/>
      <c r="AC693" s="22"/>
      <c r="AD693" s="22"/>
      <c r="AE693" s="22"/>
    </row>
    <row r="694">
      <c r="A694" s="22"/>
      <c r="B694" s="22" t="str">
        <f>IF(ISBLANK(A694),"",VLOOKUP(A694,DOI_URL!$B$1:$C$74,2,FALSE()))</f>
        <v/>
      </c>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c r="AA694" s="22"/>
      <c r="AB694" s="22"/>
      <c r="AC694" s="22"/>
      <c r="AD694" s="22"/>
      <c r="AE694" s="22"/>
    </row>
    <row r="695">
      <c r="A695" s="22"/>
      <c r="B695" s="22" t="str">
        <f>IF(ISBLANK(A695),"",VLOOKUP(A695,DOI_URL!$B$1:$C$74,2,FALSE()))</f>
        <v/>
      </c>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c r="AA695" s="22"/>
      <c r="AB695" s="22"/>
      <c r="AC695" s="22"/>
      <c r="AD695" s="22"/>
      <c r="AE695" s="22"/>
    </row>
    <row r="696">
      <c r="A696" s="22"/>
      <c r="B696" s="22" t="str">
        <f>IF(ISBLANK(A696),"",VLOOKUP(A696,DOI_URL!$B$1:$C$74,2,FALSE()))</f>
        <v/>
      </c>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c r="AA696" s="22"/>
      <c r="AB696" s="22"/>
      <c r="AC696" s="22"/>
      <c r="AD696" s="22"/>
      <c r="AE696" s="22"/>
    </row>
    <row r="697">
      <c r="A697" s="22"/>
      <c r="B697" s="22" t="str">
        <f>IF(ISBLANK(A697),"",VLOOKUP(A697,DOI_URL!$B$1:$C$74,2,FALSE()))</f>
        <v/>
      </c>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c r="AA697" s="22"/>
      <c r="AB697" s="22"/>
      <c r="AC697" s="22"/>
      <c r="AD697" s="22"/>
      <c r="AE697" s="22"/>
    </row>
    <row r="698">
      <c r="A698" s="22"/>
      <c r="B698" s="22" t="str">
        <f>IF(ISBLANK(A698),"",VLOOKUP(A698,DOI_URL!$B$1:$C$74,2,FALSE()))</f>
        <v/>
      </c>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c r="AA698" s="22"/>
      <c r="AB698" s="22"/>
      <c r="AC698" s="22"/>
      <c r="AD698" s="22"/>
      <c r="AE698" s="22"/>
    </row>
    <row r="699">
      <c r="A699" s="22"/>
      <c r="B699" s="22" t="str">
        <f>IF(ISBLANK(A699),"",VLOOKUP(A699,DOI_URL!$B$1:$C$74,2,FALSE()))</f>
        <v/>
      </c>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c r="AA699" s="22"/>
      <c r="AB699" s="22"/>
      <c r="AC699" s="22"/>
      <c r="AD699" s="22"/>
      <c r="AE699" s="22"/>
    </row>
    <row r="700">
      <c r="A700" s="22"/>
      <c r="B700" s="22" t="str">
        <f>IF(ISBLANK(A700),"",VLOOKUP(A700,DOI_URL!$B$1:$C$74,2,FALSE()))</f>
        <v/>
      </c>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row>
    <row r="701">
      <c r="A701" s="22"/>
      <c r="B701" s="22" t="str">
        <f>IF(ISBLANK(A701),"",VLOOKUP(A701,DOI_URL!$B$1:$C$74,2,FALSE()))</f>
        <v/>
      </c>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c r="AA701" s="22"/>
      <c r="AB701" s="22"/>
      <c r="AC701" s="22"/>
      <c r="AD701" s="22"/>
      <c r="AE701" s="22"/>
    </row>
    <row r="702">
      <c r="A702" s="22"/>
      <c r="B702" s="22" t="str">
        <f>IF(ISBLANK(A702),"",VLOOKUP(A702,DOI_URL!$B$1:$C$74,2,FALSE()))</f>
        <v/>
      </c>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c r="AA702" s="22"/>
      <c r="AB702" s="22"/>
      <c r="AC702" s="22"/>
      <c r="AD702" s="22"/>
      <c r="AE702" s="22"/>
    </row>
    <row r="703">
      <c r="A703" s="22"/>
      <c r="B703" s="22" t="str">
        <f>IF(ISBLANK(A703),"",VLOOKUP(A703,DOI_URL!$B$1:$C$74,2,FALSE()))</f>
        <v/>
      </c>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c r="AA703" s="22"/>
      <c r="AB703" s="22"/>
      <c r="AC703" s="22"/>
      <c r="AD703" s="22"/>
      <c r="AE703" s="22"/>
    </row>
    <row r="704">
      <c r="A704" s="22"/>
      <c r="B704" s="22" t="str">
        <f>IF(ISBLANK(A704),"",VLOOKUP(A704,DOI_URL!$B$1:$C$74,2,FALSE()))</f>
        <v/>
      </c>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c r="AA704" s="22"/>
      <c r="AB704" s="22"/>
      <c r="AC704" s="22"/>
      <c r="AD704" s="22"/>
      <c r="AE704" s="22"/>
    </row>
    <row r="705">
      <c r="A705" s="22"/>
      <c r="B705" s="22" t="str">
        <f>IF(ISBLANK(A705),"",VLOOKUP(A705,DOI_URL!$B$1:$C$74,2,FALSE()))</f>
        <v/>
      </c>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c r="AA705" s="22"/>
      <c r="AB705" s="22"/>
      <c r="AC705" s="22"/>
      <c r="AD705" s="22"/>
      <c r="AE705" s="22"/>
    </row>
    <row r="706">
      <c r="A706" s="22"/>
      <c r="B706" s="22" t="str">
        <f>IF(ISBLANK(A706),"",VLOOKUP(A706,DOI_URL!$B$1:$C$74,2,FALSE()))</f>
        <v/>
      </c>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c r="AA706" s="22"/>
      <c r="AB706" s="22"/>
      <c r="AC706" s="22"/>
      <c r="AD706" s="22"/>
      <c r="AE706" s="22"/>
    </row>
    <row r="707">
      <c r="A707" s="22"/>
      <c r="B707" s="22" t="str">
        <f>IF(ISBLANK(A707),"",VLOOKUP(A707,DOI_URL!$B$1:$C$74,2,FALSE()))</f>
        <v/>
      </c>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c r="AA707" s="22"/>
      <c r="AB707" s="22"/>
      <c r="AC707" s="22"/>
      <c r="AD707" s="22"/>
      <c r="AE707" s="22"/>
    </row>
    <row r="708">
      <c r="A708" s="22"/>
      <c r="B708" s="22" t="str">
        <f>IF(ISBLANK(A708),"",VLOOKUP(A708,DOI_URL!$B$1:$C$74,2,FALSE()))</f>
        <v/>
      </c>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c r="AA708" s="22"/>
      <c r="AB708" s="22"/>
      <c r="AC708" s="22"/>
      <c r="AD708" s="22"/>
      <c r="AE708" s="22"/>
    </row>
    <row r="709">
      <c r="A709" s="22"/>
      <c r="B709" s="22" t="str">
        <f>IF(ISBLANK(A709),"",VLOOKUP(A709,DOI_URL!$B$1:$C$74,2,FALSE()))</f>
        <v/>
      </c>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c r="AA709" s="22"/>
      <c r="AB709" s="22"/>
      <c r="AC709" s="22"/>
      <c r="AD709" s="22"/>
      <c r="AE709" s="22"/>
    </row>
    <row r="710">
      <c r="A710" s="22"/>
      <c r="B710" s="22" t="str">
        <f>IF(ISBLANK(A710),"",VLOOKUP(A710,DOI_URL!$B$1:$C$74,2,FALSE()))</f>
        <v/>
      </c>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c r="AA710" s="22"/>
      <c r="AB710" s="22"/>
      <c r="AC710" s="22"/>
      <c r="AD710" s="22"/>
      <c r="AE710" s="22"/>
    </row>
    <row r="711">
      <c r="A711" s="22"/>
      <c r="B711" s="22" t="str">
        <f>IF(ISBLANK(A711),"",VLOOKUP(A711,DOI_URL!$B$1:$C$74,2,FALSE()))</f>
        <v/>
      </c>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c r="AA711" s="22"/>
      <c r="AB711" s="22"/>
      <c r="AC711" s="22"/>
      <c r="AD711" s="22"/>
      <c r="AE711" s="22"/>
    </row>
    <row r="712">
      <c r="A712" s="22"/>
      <c r="B712" s="22" t="str">
        <f>IF(ISBLANK(A712),"",VLOOKUP(A712,DOI_URL!$B$1:$C$74,2,FALSE()))</f>
        <v/>
      </c>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c r="AA712" s="22"/>
      <c r="AB712" s="22"/>
      <c r="AC712" s="22"/>
      <c r="AD712" s="22"/>
      <c r="AE712" s="22"/>
    </row>
    <row r="713">
      <c r="A713" s="22"/>
      <c r="B713" s="22" t="str">
        <f>IF(ISBLANK(A713),"",VLOOKUP(A713,DOI_URL!$B$1:$C$74,2,FALSE()))</f>
        <v/>
      </c>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c r="AA713" s="22"/>
      <c r="AB713" s="22"/>
      <c r="AC713" s="22"/>
      <c r="AD713" s="22"/>
      <c r="AE713" s="22"/>
    </row>
    <row r="714">
      <c r="A714" s="22"/>
      <c r="B714" s="22" t="str">
        <f>IF(ISBLANK(A714),"",VLOOKUP(A714,DOI_URL!$B$1:$C$74,2,FALSE()))</f>
        <v/>
      </c>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c r="AA714" s="22"/>
      <c r="AB714" s="22"/>
      <c r="AC714" s="22"/>
      <c r="AD714" s="22"/>
      <c r="AE714" s="22"/>
    </row>
    <row r="715">
      <c r="A715" s="22"/>
      <c r="B715" s="22" t="str">
        <f>IF(ISBLANK(A715),"",VLOOKUP(A715,DOI_URL!$B$1:$C$74,2,FALSE()))</f>
        <v/>
      </c>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c r="AA715" s="22"/>
      <c r="AB715" s="22"/>
      <c r="AC715" s="22"/>
      <c r="AD715" s="22"/>
      <c r="AE715" s="22"/>
    </row>
    <row r="716">
      <c r="A716" s="22"/>
      <c r="B716" s="22" t="str">
        <f>IF(ISBLANK(A716),"",VLOOKUP(A716,DOI_URL!$B$1:$C$74,2,FALSE()))</f>
        <v/>
      </c>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c r="AA716" s="22"/>
      <c r="AB716" s="22"/>
      <c r="AC716" s="22"/>
      <c r="AD716" s="22"/>
      <c r="AE716" s="22"/>
    </row>
    <row r="717">
      <c r="A717" s="22"/>
      <c r="B717" s="22" t="str">
        <f>IF(ISBLANK(A717),"",VLOOKUP(A717,DOI_URL!$B$1:$C$74,2,FALSE()))</f>
        <v/>
      </c>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c r="AA717" s="22"/>
      <c r="AB717" s="22"/>
      <c r="AC717" s="22"/>
      <c r="AD717" s="22"/>
      <c r="AE717" s="22"/>
    </row>
    <row r="718">
      <c r="A718" s="22"/>
      <c r="B718" s="22" t="str">
        <f>IF(ISBLANK(A718),"",VLOOKUP(A718,DOI_URL!$B$1:$C$74,2,FALSE()))</f>
        <v/>
      </c>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c r="AA718" s="22"/>
      <c r="AB718" s="22"/>
      <c r="AC718" s="22"/>
      <c r="AD718" s="22"/>
      <c r="AE718" s="22"/>
    </row>
    <row r="719">
      <c r="A719" s="22"/>
      <c r="B719" s="22" t="str">
        <f>IF(ISBLANK(A719),"",VLOOKUP(A719,DOI_URL!$B$1:$C$74,2,FALSE()))</f>
        <v/>
      </c>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c r="AA719" s="22"/>
      <c r="AB719" s="22"/>
      <c r="AC719" s="22"/>
      <c r="AD719" s="22"/>
      <c r="AE719" s="22"/>
    </row>
    <row r="720">
      <c r="A720" s="22"/>
      <c r="B720" s="22" t="str">
        <f>IF(ISBLANK(A720),"",VLOOKUP(A720,DOI_URL!$B$1:$C$74,2,FALSE()))</f>
        <v/>
      </c>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c r="AA720" s="22"/>
      <c r="AB720" s="22"/>
      <c r="AC720" s="22"/>
      <c r="AD720" s="22"/>
      <c r="AE720" s="22"/>
    </row>
    <row r="721">
      <c r="A721" s="22"/>
      <c r="B721" s="22" t="str">
        <f>IF(ISBLANK(A721),"",VLOOKUP(A721,DOI_URL!$B$1:$C$74,2,FALSE()))</f>
        <v/>
      </c>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c r="AA721" s="22"/>
      <c r="AB721" s="22"/>
      <c r="AC721" s="22"/>
      <c r="AD721" s="22"/>
      <c r="AE721" s="22"/>
    </row>
    <row r="722">
      <c r="A722" s="22"/>
      <c r="B722" s="22" t="str">
        <f>IF(ISBLANK(A722),"",VLOOKUP(A722,DOI_URL!$B$1:$C$74,2,FALSE()))</f>
        <v/>
      </c>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c r="AA722" s="22"/>
      <c r="AB722" s="22"/>
      <c r="AC722" s="22"/>
      <c r="AD722" s="22"/>
      <c r="AE722" s="22"/>
    </row>
    <row r="723">
      <c r="A723" s="22"/>
      <c r="B723" s="22" t="str">
        <f>IF(ISBLANK(A723),"",VLOOKUP(A723,DOI_URL!$B$1:$C$74,2,FALSE()))</f>
        <v/>
      </c>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c r="AA723" s="22"/>
      <c r="AB723" s="22"/>
      <c r="AC723" s="22"/>
      <c r="AD723" s="22"/>
      <c r="AE723" s="22"/>
    </row>
    <row r="724">
      <c r="A724" s="22"/>
      <c r="B724" s="22" t="str">
        <f>IF(ISBLANK(A724),"",VLOOKUP(A724,DOI_URL!$B$1:$C$74,2,FALSE()))</f>
        <v/>
      </c>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c r="AA724" s="22"/>
      <c r="AB724" s="22"/>
      <c r="AC724" s="22"/>
      <c r="AD724" s="22"/>
      <c r="AE724" s="22"/>
    </row>
    <row r="725">
      <c r="A725" s="22"/>
      <c r="B725" s="22" t="str">
        <f>IF(ISBLANK(A725),"",VLOOKUP(A725,DOI_URL!$B$1:$C$74,2,FALSE()))</f>
        <v/>
      </c>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row>
    <row r="726">
      <c r="A726" s="22"/>
      <c r="B726" s="22" t="str">
        <f>IF(ISBLANK(A726),"",VLOOKUP(A726,DOI_URL!$B$1:$C$74,2,FALSE()))</f>
        <v/>
      </c>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c r="AA726" s="22"/>
      <c r="AB726" s="22"/>
      <c r="AC726" s="22"/>
      <c r="AD726" s="22"/>
      <c r="AE726" s="22"/>
    </row>
    <row r="727">
      <c r="A727" s="22"/>
      <c r="B727" s="22" t="str">
        <f>IF(ISBLANK(A727),"",VLOOKUP(A727,DOI_URL!$B$1:$C$74,2,FALSE()))</f>
        <v/>
      </c>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c r="AA727" s="22"/>
      <c r="AB727" s="22"/>
      <c r="AC727" s="22"/>
      <c r="AD727" s="22"/>
      <c r="AE727" s="22"/>
    </row>
    <row r="728">
      <c r="A728" s="22"/>
      <c r="B728" s="22" t="str">
        <f>IF(ISBLANK(A728),"",VLOOKUP(A728,DOI_URL!$B$1:$C$74,2,FALSE()))</f>
        <v/>
      </c>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c r="AA728" s="22"/>
      <c r="AB728" s="22"/>
      <c r="AC728" s="22"/>
      <c r="AD728" s="22"/>
      <c r="AE728" s="22"/>
    </row>
    <row r="729">
      <c r="A729" s="22"/>
      <c r="B729" s="22" t="str">
        <f>IF(ISBLANK(A729),"",VLOOKUP(A729,DOI_URL!$B$1:$C$74,2,FALSE()))</f>
        <v/>
      </c>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c r="AA729" s="22"/>
      <c r="AB729" s="22"/>
      <c r="AC729" s="22"/>
      <c r="AD729" s="22"/>
      <c r="AE729" s="22"/>
    </row>
    <row r="730">
      <c r="A730" s="22"/>
      <c r="B730" s="22" t="str">
        <f>IF(ISBLANK(A730),"",VLOOKUP(A730,DOI_URL!$B$1:$C$74,2,FALSE()))</f>
        <v/>
      </c>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c r="AA730" s="22"/>
      <c r="AB730" s="22"/>
      <c r="AC730" s="22"/>
      <c r="AD730" s="22"/>
      <c r="AE730" s="22"/>
    </row>
    <row r="731">
      <c r="A731" s="22"/>
      <c r="B731" s="22" t="str">
        <f>IF(ISBLANK(A731),"",VLOOKUP(A731,DOI_URL!$B$1:$C$74,2,FALSE()))</f>
        <v/>
      </c>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c r="AA731" s="22"/>
      <c r="AB731" s="22"/>
      <c r="AC731" s="22"/>
      <c r="AD731" s="22"/>
      <c r="AE731" s="22"/>
    </row>
    <row r="732">
      <c r="A732" s="22"/>
      <c r="B732" s="22" t="str">
        <f>IF(ISBLANK(A732),"",VLOOKUP(A732,DOI_URL!$B$1:$C$74,2,FALSE()))</f>
        <v/>
      </c>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c r="AA732" s="22"/>
      <c r="AB732" s="22"/>
      <c r="AC732" s="22"/>
      <c r="AD732" s="22"/>
      <c r="AE732" s="22"/>
    </row>
    <row r="733">
      <c r="A733" s="22"/>
      <c r="B733" s="22" t="str">
        <f>IF(ISBLANK(A733),"",VLOOKUP(A733,DOI_URL!$B$1:$C$74,2,FALSE()))</f>
        <v/>
      </c>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c r="AA733" s="22"/>
      <c r="AB733" s="22"/>
      <c r="AC733" s="22"/>
      <c r="AD733" s="22"/>
      <c r="AE733" s="22"/>
    </row>
    <row r="734">
      <c r="A734" s="22"/>
      <c r="B734" s="22" t="str">
        <f>IF(ISBLANK(A734),"",VLOOKUP(A734,DOI_URL!$B$1:$C$74,2,FALSE()))</f>
        <v/>
      </c>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c r="AA734" s="22"/>
      <c r="AB734" s="22"/>
      <c r="AC734" s="22"/>
      <c r="AD734" s="22"/>
      <c r="AE734" s="22"/>
    </row>
    <row r="735">
      <c r="A735" s="22"/>
      <c r="B735" s="22" t="str">
        <f>IF(ISBLANK(A735),"",VLOOKUP(A735,DOI_URL!$B$1:$C$74,2,FALSE()))</f>
        <v/>
      </c>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c r="AA735" s="22"/>
      <c r="AB735" s="22"/>
      <c r="AC735" s="22"/>
      <c r="AD735" s="22"/>
      <c r="AE735" s="22"/>
    </row>
    <row r="736">
      <c r="A736" s="22"/>
      <c r="B736" s="22" t="str">
        <f>IF(ISBLANK(A736),"",VLOOKUP(A736,DOI_URL!$B$1:$C$74,2,FALSE()))</f>
        <v/>
      </c>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c r="AA736" s="22"/>
      <c r="AB736" s="22"/>
      <c r="AC736" s="22"/>
      <c r="AD736" s="22"/>
      <c r="AE736" s="22"/>
    </row>
    <row r="737">
      <c r="A737" s="22"/>
      <c r="B737" s="22" t="str">
        <f>IF(ISBLANK(A737),"",VLOOKUP(A737,DOI_URL!$B$1:$C$74,2,FALSE()))</f>
        <v/>
      </c>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c r="AA737" s="22"/>
      <c r="AB737" s="22"/>
      <c r="AC737" s="22"/>
      <c r="AD737" s="22"/>
      <c r="AE737" s="22"/>
    </row>
    <row r="738">
      <c r="A738" s="22"/>
      <c r="B738" s="22" t="str">
        <f>IF(ISBLANK(A738),"",VLOOKUP(A738,DOI_URL!$B$1:$C$74,2,FALSE()))</f>
        <v/>
      </c>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c r="AA738" s="22"/>
      <c r="AB738" s="22"/>
      <c r="AC738" s="22"/>
      <c r="AD738" s="22"/>
      <c r="AE738" s="22"/>
    </row>
    <row r="739">
      <c r="A739" s="22"/>
      <c r="B739" s="22" t="str">
        <f>IF(ISBLANK(A739),"",VLOOKUP(A739,DOI_URL!$B$1:$C$74,2,FALSE()))</f>
        <v/>
      </c>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c r="AA739" s="22"/>
      <c r="AB739" s="22"/>
      <c r="AC739" s="22"/>
      <c r="AD739" s="22"/>
      <c r="AE739" s="22"/>
    </row>
    <row r="740">
      <c r="A740" s="22"/>
      <c r="B740" s="22" t="str">
        <f>IF(ISBLANK(A740),"",VLOOKUP(A740,DOI_URL!$B$1:$C$74,2,FALSE()))</f>
        <v/>
      </c>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c r="AA740" s="22"/>
      <c r="AB740" s="22"/>
      <c r="AC740" s="22"/>
      <c r="AD740" s="22"/>
      <c r="AE740" s="22"/>
    </row>
    <row r="741">
      <c r="A741" s="22"/>
      <c r="B741" s="22" t="str">
        <f>IF(ISBLANK(A741),"",VLOOKUP(A741,DOI_URL!$B$1:$C$74,2,FALSE()))</f>
        <v/>
      </c>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c r="AA741" s="22"/>
      <c r="AB741" s="22"/>
      <c r="AC741" s="22"/>
      <c r="AD741" s="22"/>
      <c r="AE741" s="22"/>
    </row>
    <row r="742">
      <c r="A742" s="22"/>
      <c r="B742" s="22" t="str">
        <f>IF(ISBLANK(A742),"",VLOOKUP(A742,DOI_URL!$B$1:$C$74,2,FALSE()))</f>
        <v/>
      </c>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c r="AA742" s="22"/>
      <c r="AB742" s="22"/>
      <c r="AC742" s="22"/>
      <c r="AD742" s="22"/>
      <c r="AE742" s="22"/>
    </row>
    <row r="743">
      <c r="A743" s="22"/>
      <c r="B743" s="22" t="str">
        <f>IF(ISBLANK(A743),"",VLOOKUP(A743,DOI_URL!$B$1:$C$74,2,FALSE()))</f>
        <v/>
      </c>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c r="AA743" s="22"/>
      <c r="AB743" s="22"/>
      <c r="AC743" s="22"/>
      <c r="AD743" s="22"/>
      <c r="AE743" s="22"/>
    </row>
    <row r="744">
      <c r="A744" s="22"/>
      <c r="B744" s="22" t="str">
        <f>IF(ISBLANK(A744),"",VLOOKUP(A744,DOI_URL!$B$1:$C$74,2,FALSE()))</f>
        <v/>
      </c>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c r="AA744" s="22"/>
      <c r="AB744" s="22"/>
      <c r="AC744" s="22"/>
      <c r="AD744" s="22"/>
      <c r="AE744" s="22"/>
    </row>
    <row r="745">
      <c r="A745" s="22"/>
      <c r="B745" s="22" t="str">
        <f>IF(ISBLANK(A745),"",VLOOKUP(A745,DOI_URL!$B$1:$C$74,2,FALSE()))</f>
        <v/>
      </c>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c r="AA745" s="22"/>
      <c r="AB745" s="22"/>
      <c r="AC745" s="22"/>
      <c r="AD745" s="22"/>
      <c r="AE745" s="22"/>
    </row>
    <row r="746">
      <c r="A746" s="22"/>
      <c r="B746" s="22" t="str">
        <f>IF(ISBLANK(A746),"",VLOOKUP(A746,DOI_URL!$B$1:$C$74,2,FALSE()))</f>
        <v/>
      </c>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c r="AA746" s="22"/>
      <c r="AB746" s="22"/>
      <c r="AC746" s="22"/>
      <c r="AD746" s="22"/>
      <c r="AE746" s="22"/>
    </row>
    <row r="747">
      <c r="A747" s="22"/>
      <c r="B747" s="22" t="str">
        <f>IF(ISBLANK(A747),"",VLOOKUP(A747,DOI_URL!$B$1:$C$74,2,FALSE()))</f>
        <v/>
      </c>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c r="AA747" s="22"/>
      <c r="AB747" s="22"/>
      <c r="AC747" s="22"/>
      <c r="AD747" s="22"/>
      <c r="AE747" s="22"/>
    </row>
    <row r="748">
      <c r="A748" s="22"/>
      <c r="B748" s="22" t="str">
        <f>IF(ISBLANK(A748),"",VLOOKUP(A748,DOI_URL!$B$1:$C$74,2,FALSE()))</f>
        <v/>
      </c>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c r="AA748" s="22"/>
      <c r="AB748" s="22"/>
      <c r="AC748" s="22"/>
      <c r="AD748" s="22"/>
      <c r="AE748" s="22"/>
    </row>
    <row r="749">
      <c r="A749" s="22"/>
      <c r="B749" s="22" t="str">
        <f>IF(ISBLANK(A749),"",VLOOKUP(A749,DOI_URL!$B$1:$C$74,2,FALSE()))</f>
        <v/>
      </c>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c r="AA749" s="22"/>
      <c r="AB749" s="22"/>
      <c r="AC749" s="22"/>
      <c r="AD749" s="22"/>
      <c r="AE749" s="22"/>
    </row>
    <row r="750">
      <c r="A750" s="22"/>
      <c r="B750" s="22" t="str">
        <f>IF(ISBLANK(A750),"",VLOOKUP(A750,DOI_URL!$B$1:$C$74,2,FALSE()))</f>
        <v/>
      </c>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row>
    <row r="751">
      <c r="A751" s="22"/>
      <c r="B751" s="22" t="str">
        <f>IF(ISBLANK(A751),"",VLOOKUP(A751,DOI_URL!$B$1:$C$74,2,FALSE()))</f>
        <v/>
      </c>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c r="AA751" s="22"/>
      <c r="AB751" s="22"/>
      <c r="AC751" s="22"/>
      <c r="AD751" s="22"/>
      <c r="AE751" s="22"/>
    </row>
    <row r="752">
      <c r="A752" s="22"/>
      <c r="B752" s="22" t="str">
        <f>IF(ISBLANK(A752),"",VLOOKUP(A752,DOI_URL!$B$1:$C$74,2,FALSE()))</f>
        <v/>
      </c>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c r="AA752" s="22"/>
      <c r="AB752" s="22"/>
      <c r="AC752" s="22"/>
      <c r="AD752" s="22"/>
      <c r="AE752" s="22"/>
    </row>
    <row r="753">
      <c r="A753" s="22"/>
      <c r="B753" s="22" t="str">
        <f>IF(ISBLANK(A753),"",VLOOKUP(A753,DOI_URL!$B$1:$C$74,2,FALSE()))</f>
        <v/>
      </c>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c r="AA753" s="22"/>
      <c r="AB753" s="22"/>
      <c r="AC753" s="22"/>
      <c r="AD753" s="22"/>
      <c r="AE753" s="22"/>
    </row>
    <row r="754">
      <c r="A754" s="22"/>
      <c r="B754" s="22" t="str">
        <f>IF(ISBLANK(A754),"",VLOOKUP(A754,DOI_URL!$B$1:$C$74,2,FALSE()))</f>
        <v/>
      </c>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c r="AA754" s="22"/>
      <c r="AB754" s="22"/>
      <c r="AC754" s="22"/>
      <c r="AD754" s="22"/>
      <c r="AE754" s="22"/>
    </row>
    <row r="755">
      <c r="A755" s="22"/>
      <c r="B755" s="22" t="str">
        <f>IF(ISBLANK(A755),"",VLOOKUP(A755,DOI_URL!$B$1:$C$74,2,FALSE()))</f>
        <v/>
      </c>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c r="AA755" s="22"/>
      <c r="AB755" s="22"/>
      <c r="AC755" s="22"/>
      <c r="AD755" s="22"/>
      <c r="AE755" s="22"/>
    </row>
    <row r="756">
      <c r="A756" s="22"/>
      <c r="B756" s="22" t="str">
        <f>IF(ISBLANK(A756),"",VLOOKUP(A756,DOI_URL!$B$1:$C$74,2,FALSE()))</f>
        <v/>
      </c>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c r="AA756" s="22"/>
      <c r="AB756" s="22"/>
      <c r="AC756" s="22"/>
      <c r="AD756" s="22"/>
      <c r="AE756" s="22"/>
    </row>
    <row r="757">
      <c r="A757" s="22"/>
      <c r="B757" s="22" t="str">
        <f>IF(ISBLANK(A757),"",VLOOKUP(A757,DOI_URL!$B$1:$C$74,2,FALSE()))</f>
        <v/>
      </c>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c r="AA757" s="22"/>
      <c r="AB757" s="22"/>
      <c r="AC757" s="22"/>
      <c r="AD757" s="22"/>
      <c r="AE757" s="22"/>
    </row>
    <row r="758">
      <c r="A758" s="22"/>
      <c r="B758" s="22" t="str">
        <f>IF(ISBLANK(A758),"",VLOOKUP(A758,DOI_URL!$B$1:$C$74,2,FALSE()))</f>
        <v/>
      </c>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c r="AA758" s="22"/>
      <c r="AB758" s="22"/>
      <c r="AC758" s="22"/>
      <c r="AD758" s="22"/>
      <c r="AE758" s="22"/>
    </row>
    <row r="759">
      <c r="A759" s="22"/>
      <c r="B759" s="22" t="str">
        <f>IF(ISBLANK(A759),"",VLOOKUP(A759,DOI_URL!$B$1:$C$74,2,FALSE()))</f>
        <v/>
      </c>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c r="AA759" s="22"/>
      <c r="AB759" s="22"/>
      <c r="AC759" s="22"/>
      <c r="AD759" s="22"/>
      <c r="AE759" s="22"/>
    </row>
    <row r="760">
      <c r="A760" s="22"/>
      <c r="B760" s="22" t="str">
        <f>IF(ISBLANK(A760),"",VLOOKUP(A760,DOI_URL!$B$1:$C$74,2,FALSE()))</f>
        <v/>
      </c>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c r="AA760" s="22"/>
      <c r="AB760" s="22"/>
      <c r="AC760" s="22"/>
      <c r="AD760" s="22"/>
      <c r="AE760" s="22"/>
    </row>
    <row r="761">
      <c r="A761" s="22"/>
      <c r="B761" s="22" t="str">
        <f>IF(ISBLANK(A761),"",VLOOKUP(A761,DOI_URL!$B$1:$C$74,2,FALSE()))</f>
        <v/>
      </c>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c r="AA761" s="22"/>
      <c r="AB761" s="22"/>
      <c r="AC761" s="22"/>
      <c r="AD761" s="22"/>
      <c r="AE761" s="22"/>
    </row>
    <row r="762">
      <c r="A762" s="22"/>
      <c r="B762" s="22" t="str">
        <f>IF(ISBLANK(A762),"",VLOOKUP(A762,DOI_URL!$B$1:$C$74,2,FALSE()))</f>
        <v/>
      </c>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c r="AA762" s="22"/>
      <c r="AB762" s="22"/>
      <c r="AC762" s="22"/>
      <c r="AD762" s="22"/>
      <c r="AE762" s="22"/>
    </row>
    <row r="763">
      <c r="A763" s="22"/>
      <c r="B763" s="22" t="str">
        <f>IF(ISBLANK(A763),"",VLOOKUP(A763,DOI_URL!$B$1:$C$74,2,FALSE()))</f>
        <v/>
      </c>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c r="AA763" s="22"/>
      <c r="AB763" s="22"/>
      <c r="AC763" s="22"/>
      <c r="AD763" s="22"/>
      <c r="AE763" s="22"/>
    </row>
    <row r="764">
      <c r="A764" s="22"/>
      <c r="B764" s="22" t="str">
        <f>IF(ISBLANK(A764),"",VLOOKUP(A764,DOI_URL!$B$1:$C$74,2,FALSE()))</f>
        <v/>
      </c>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c r="AA764" s="22"/>
      <c r="AB764" s="22"/>
      <c r="AC764" s="22"/>
      <c r="AD764" s="22"/>
      <c r="AE764" s="22"/>
    </row>
    <row r="765">
      <c r="A765" s="22"/>
      <c r="B765" s="22" t="str">
        <f>IF(ISBLANK(A765),"",VLOOKUP(A765,DOI_URL!$B$1:$C$74,2,FALSE()))</f>
        <v/>
      </c>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c r="AA765" s="22"/>
      <c r="AB765" s="22"/>
      <c r="AC765" s="22"/>
      <c r="AD765" s="22"/>
      <c r="AE765" s="22"/>
    </row>
    <row r="766">
      <c r="A766" s="22"/>
      <c r="B766" s="22" t="str">
        <f>IF(ISBLANK(A766),"",VLOOKUP(A766,DOI_URL!$B$1:$C$74,2,FALSE()))</f>
        <v/>
      </c>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c r="AA766" s="22"/>
      <c r="AB766" s="22"/>
      <c r="AC766" s="22"/>
      <c r="AD766" s="22"/>
      <c r="AE766" s="22"/>
    </row>
    <row r="767">
      <c r="A767" s="22"/>
      <c r="B767" s="22" t="str">
        <f>IF(ISBLANK(A767),"",VLOOKUP(A767,DOI_URL!$B$1:$C$74,2,FALSE()))</f>
        <v/>
      </c>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c r="AA767" s="22"/>
      <c r="AB767" s="22"/>
      <c r="AC767" s="22"/>
      <c r="AD767" s="22"/>
      <c r="AE767" s="22"/>
    </row>
    <row r="768">
      <c r="A768" s="22"/>
      <c r="B768" s="22" t="str">
        <f>IF(ISBLANK(A768),"",VLOOKUP(A768,DOI_URL!$B$1:$C$74,2,FALSE()))</f>
        <v/>
      </c>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c r="AA768" s="22"/>
      <c r="AB768" s="22"/>
      <c r="AC768" s="22"/>
      <c r="AD768" s="22"/>
      <c r="AE768" s="22"/>
    </row>
    <row r="769">
      <c r="A769" s="22"/>
      <c r="B769" s="22" t="str">
        <f>IF(ISBLANK(A769),"",VLOOKUP(A769,DOI_URL!$B$1:$C$74,2,FALSE()))</f>
        <v/>
      </c>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c r="AA769" s="22"/>
      <c r="AB769" s="22"/>
      <c r="AC769" s="22"/>
      <c r="AD769" s="22"/>
      <c r="AE769" s="22"/>
    </row>
    <row r="770">
      <c r="A770" s="22"/>
      <c r="B770" s="22" t="str">
        <f>IF(ISBLANK(A770),"",VLOOKUP(A770,DOI_URL!$B$1:$C$74,2,FALSE()))</f>
        <v/>
      </c>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c r="AA770" s="22"/>
      <c r="AB770" s="22"/>
      <c r="AC770" s="22"/>
      <c r="AD770" s="22"/>
      <c r="AE770" s="22"/>
    </row>
    <row r="771">
      <c r="A771" s="22"/>
      <c r="B771" s="22" t="str">
        <f>IF(ISBLANK(A771),"",VLOOKUP(A771,DOI_URL!$B$1:$C$74,2,FALSE()))</f>
        <v/>
      </c>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c r="AA771" s="22"/>
      <c r="AB771" s="22"/>
      <c r="AC771" s="22"/>
      <c r="AD771" s="22"/>
      <c r="AE771" s="22"/>
    </row>
    <row r="772">
      <c r="A772" s="22"/>
      <c r="B772" s="22" t="str">
        <f>IF(ISBLANK(A772),"",VLOOKUP(A772,DOI_URL!$B$1:$C$74,2,FALSE()))</f>
        <v/>
      </c>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c r="AA772" s="22"/>
      <c r="AB772" s="22"/>
      <c r="AC772" s="22"/>
      <c r="AD772" s="22"/>
      <c r="AE772" s="22"/>
    </row>
    <row r="773">
      <c r="A773" s="22"/>
      <c r="B773" s="22" t="str">
        <f>IF(ISBLANK(A773),"",VLOOKUP(A773,DOI_URL!$B$1:$C$74,2,FALSE()))</f>
        <v/>
      </c>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c r="AA773" s="22"/>
      <c r="AB773" s="22"/>
      <c r="AC773" s="22"/>
      <c r="AD773" s="22"/>
      <c r="AE773" s="22"/>
    </row>
    <row r="774">
      <c r="A774" s="22"/>
      <c r="B774" s="22" t="str">
        <f>IF(ISBLANK(A774),"",VLOOKUP(A774,DOI_URL!$B$1:$C$74,2,FALSE()))</f>
        <v/>
      </c>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c r="AA774" s="22"/>
      <c r="AB774" s="22"/>
      <c r="AC774" s="22"/>
      <c r="AD774" s="22"/>
      <c r="AE774" s="22"/>
    </row>
    <row r="775">
      <c r="A775" s="22"/>
      <c r="B775" s="22" t="str">
        <f>IF(ISBLANK(A775),"",VLOOKUP(A775,DOI_URL!$B$1:$C$74,2,FALSE()))</f>
        <v/>
      </c>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c r="AD775" s="22"/>
      <c r="AE775" s="22"/>
    </row>
    <row r="776">
      <c r="A776" s="22"/>
      <c r="B776" s="22" t="str">
        <f>IF(ISBLANK(A776),"",VLOOKUP(A776,DOI_URL!$B$1:$C$74,2,FALSE()))</f>
        <v/>
      </c>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c r="AA776" s="22"/>
      <c r="AB776" s="22"/>
      <c r="AC776" s="22"/>
      <c r="AD776" s="22"/>
      <c r="AE776" s="22"/>
    </row>
    <row r="777">
      <c r="A777" s="22"/>
      <c r="B777" s="22" t="str">
        <f>IF(ISBLANK(A777),"",VLOOKUP(A777,DOI_URL!$B$1:$C$74,2,FALSE()))</f>
        <v/>
      </c>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c r="AA777" s="22"/>
      <c r="AB777" s="22"/>
      <c r="AC777" s="22"/>
      <c r="AD777" s="22"/>
      <c r="AE777" s="22"/>
    </row>
    <row r="778">
      <c r="A778" s="22"/>
      <c r="B778" s="22" t="str">
        <f>IF(ISBLANK(A778),"",VLOOKUP(A778,DOI_URL!$B$1:$C$74,2,FALSE()))</f>
        <v/>
      </c>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c r="AA778" s="22"/>
      <c r="AB778" s="22"/>
      <c r="AC778" s="22"/>
      <c r="AD778" s="22"/>
      <c r="AE778" s="22"/>
    </row>
    <row r="779">
      <c r="A779" s="22"/>
      <c r="B779" s="22" t="str">
        <f>IF(ISBLANK(A779),"",VLOOKUP(A779,DOI_URL!$B$1:$C$74,2,FALSE()))</f>
        <v/>
      </c>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c r="AA779" s="22"/>
      <c r="AB779" s="22"/>
      <c r="AC779" s="22"/>
      <c r="AD779" s="22"/>
      <c r="AE779" s="22"/>
    </row>
    <row r="780">
      <c r="A780" s="22"/>
      <c r="B780" s="22" t="str">
        <f>IF(ISBLANK(A780),"",VLOOKUP(A780,DOI_URL!$B$1:$C$74,2,FALSE()))</f>
        <v/>
      </c>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c r="AA780" s="22"/>
      <c r="AB780" s="22"/>
      <c r="AC780" s="22"/>
      <c r="AD780" s="22"/>
      <c r="AE780" s="22"/>
    </row>
    <row r="781">
      <c r="A781" s="22"/>
      <c r="B781" s="22" t="str">
        <f>IF(ISBLANK(A781),"",VLOOKUP(A781,DOI_URL!$B$1:$C$74,2,FALSE()))</f>
        <v/>
      </c>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c r="AA781" s="22"/>
      <c r="AB781" s="22"/>
      <c r="AC781" s="22"/>
      <c r="AD781" s="22"/>
      <c r="AE781" s="22"/>
    </row>
    <row r="782">
      <c r="A782" s="22"/>
      <c r="B782" s="22" t="str">
        <f>IF(ISBLANK(A782),"",VLOOKUP(A782,DOI_URL!$B$1:$C$74,2,FALSE()))</f>
        <v/>
      </c>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c r="AA782" s="22"/>
      <c r="AB782" s="22"/>
      <c r="AC782" s="22"/>
      <c r="AD782" s="22"/>
      <c r="AE782" s="22"/>
    </row>
    <row r="783">
      <c r="A783" s="22"/>
      <c r="B783" s="22" t="str">
        <f>IF(ISBLANK(A783),"",VLOOKUP(A783,DOI_URL!$B$1:$C$74,2,FALSE()))</f>
        <v/>
      </c>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c r="AA783" s="22"/>
      <c r="AB783" s="22"/>
      <c r="AC783" s="22"/>
      <c r="AD783" s="22"/>
      <c r="AE783" s="22"/>
    </row>
    <row r="784">
      <c r="A784" s="22"/>
      <c r="B784" s="22" t="str">
        <f>IF(ISBLANK(A784),"",VLOOKUP(A784,DOI_URL!$B$1:$C$74,2,FALSE()))</f>
        <v/>
      </c>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c r="AA784" s="22"/>
      <c r="AB784" s="22"/>
      <c r="AC784" s="22"/>
      <c r="AD784" s="22"/>
      <c r="AE784" s="22"/>
    </row>
    <row r="785">
      <c r="A785" s="22"/>
      <c r="B785" s="22" t="str">
        <f>IF(ISBLANK(A785),"",VLOOKUP(A785,DOI_URL!$B$1:$C$74,2,FALSE()))</f>
        <v/>
      </c>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c r="AA785" s="22"/>
      <c r="AB785" s="22"/>
      <c r="AC785" s="22"/>
      <c r="AD785" s="22"/>
      <c r="AE785" s="22"/>
    </row>
    <row r="786">
      <c r="A786" s="22"/>
      <c r="B786" s="22" t="str">
        <f>IF(ISBLANK(A786),"",VLOOKUP(A786,DOI_URL!$B$1:$C$74,2,FALSE()))</f>
        <v/>
      </c>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c r="AA786" s="22"/>
      <c r="AB786" s="22"/>
      <c r="AC786" s="22"/>
      <c r="AD786" s="22"/>
      <c r="AE786" s="22"/>
    </row>
    <row r="787">
      <c r="A787" s="22"/>
      <c r="B787" s="22" t="str">
        <f>IF(ISBLANK(A787),"",VLOOKUP(A787,DOI_URL!$B$1:$C$74,2,FALSE()))</f>
        <v/>
      </c>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c r="AA787" s="22"/>
      <c r="AB787" s="22"/>
      <c r="AC787" s="22"/>
      <c r="AD787" s="22"/>
      <c r="AE787" s="22"/>
    </row>
    <row r="788">
      <c r="A788" s="22"/>
      <c r="B788" s="22" t="str">
        <f>IF(ISBLANK(A788),"",VLOOKUP(A788,DOI_URL!$B$1:$C$74,2,FALSE()))</f>
        <v/>
      </c>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c r="AA788" s="22"/>
      <c r="AB788" s="22"/>
      <c r="AC788" s="22"/>
      <c r="AD788" s="22"/>
      <c r="AE788" s="22"/>
    </row>
    <row r="789">
      <c r="A789" s="22"/>
      <c r="B789" s="22" t="str">
        <f>IF(ISBLANK(A789),"",VLOOKUP(A789,DOI_URL!$B$1:$C$74,2,FALSE()))</f>
        <v/>
      </c>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c r="AA789" s="22"/>
      <c r="AB789" s="22"/>
      <c r="AC789" s="22"/>
      <c r="AD789" s="22"/>
      <c r="AE789" s="22"/>
    </row>
    <row r="790">
      <c r="A790" s="22"/>
      <c r="B790" s="22" t="str">
        <f>IF(ISBLANK(A790),"",VLOOKUP(A790,DOI_URL!$B$1:$C$74,2,FALSE()))</f>
        <v/>
      </c>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c r="AA790" s="22"/>
      <c r="AB790" s="22"/>
      <c r="AC790" s="22"/>
      <c r="AD790" s="22"/>
      <c r="AE790" s="22"/>
    </row>
    <row r="791">
      <c r="A791" s="22"/>
      <c r="B791" s="22" t="str">
        <f>IF(ISBLANK(A791),"",VLOOKUP(A791,DOI_URL!$B$1:$C$74,2,FALSE()))</f>
        <v/>
      </c>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c r="AA791" s="22"/>
      <c r="AB791" s="22"/>
      <c r="AC791" s="22"/>
      <c r="AD791" s="22"/>
      <c r="AE791" s="22"/>
    </row>
    <row r="792">
      <c r="A792" s="22"/>
      <c r="B792" s="22" t="str">
        <f>IF(ISBLANK(A792),"",VLOOKUP(A792,DOI_URL!$B$1:$C$74,2,FALSE()))</f>
        <v/>
      </c>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c r="AA792" s="22"/>
      <c r="AB792" s="22"/>
      <c r="AC792" s="22"/>
      <c r="AD792" s="22"/>
      <c r="AE792" s="22"/>
    </row>
    <row r="793">
      <c r="A793" s="22"/>
      <c r="B793" s="22" t="str">
        <f>IF(ISBLANK(A793),"",VLOOKUP(A793,DOI_URL!$B$1:$C$74,2,FALSE()))</f>
        <v/>
      </c>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c r="AA793" s="22"/>
      <c r="AB793" s="22"/>
      <c r="AC793" s="22"/>
      <c r="AD793" s="22"/>
      <c r="AE793" s="22"/>
    </row>
    <row r="794">
      <c r="A794" s="22"/>
      <c r="B794" s="22" t="str">
        <f>IF(ISBLANK(A794),"",VLOOKUP(A794,DOI_URL!$B$1:$C$74,2,FALSE()))</f>
        <v/>
      </c>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c r="AA794" s="22"/>
      <c r="AB794" s="22"/>
      <c r="AC794" s="22"/>
      <c r="AD794" s="22"/>
      <c r="AE794" s="22"/>
    </row>
    <row r="795">
      <c r="A795" s="22"/>
      <c r="B795" s="22" t="str">
        <f>IF(ISBLANK(A795),"",VLOOKUP(A795,DOI_URL!$B$1:$C$74,2,FALSE()))</f>
        <v/>
      </c>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c r="AA795" s="22"/>
      <c r="AB795" s="22"/>
      <c r="AC795" s="22"/>
      <c r="AD795" s="22"/>
      <c r="AE795" s="22"/>
    </row>
    <row r="796">
      <c r="A796" s="22"/>
      <c r="B796" s="22" t="str">
        <f>IF(ISBLANK(A796),"",VLOOKUP(A796,DOI_URL!$B$1:$C$74,2,FALSE()))</f>
        <v/>
      </c>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c r="AA796" s="22"/>
      <c r="AB796" s="22"/>
      <c r="AC796" s="22"/>
      <c r="AD796" s="22"/>
      <c r="AE796" s="22"/>
    </row>
    <row r="797">
      <c r="A797" s="22"/>
      <c r="B797" s="22" t="str">
        <f>IF(ISBLANK(A797),"",VLOOKUP(A797,DOI_URL!$B$1:$C$74,2,FALSE()))</f>
        <v/>
      </c>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c r="AA797" s="22"/>
      <c r="AB797" s="22"/>
      <c r="AC797" s="22"/>
      <c r="AD797" s="22"/>
      <c r="AE797" s="22"/>
    </row>
    <row r="798">
      <c r="A798" s="22"/>
      <c r="B798" s="22" t="str">
        <f>IF(ISBLANK(A798),"",VLOOKUP(A798,DOI_URL!$B$1:$C$74,2,FALSE()))</f>
        <v/>
      </c>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c r="AA798" s="22"/>
      <c r="AB798" s="22"/>
      <c r="AC798" s="22"/>
      <c r="AD798" s="22"/>
      <c r="AE798" s="22"/>
    </row>
    <row r="799">
      <c r="A799" s="22"/>
      <c r="B799" s="22" t="str">
        <f>IF(ISBLANK(A799),"",VLOOKUP(A799,DOI_URL!$B$1:$C$74,2,FALSE()))</f>
        <v/>
      </c>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c r="AA799" s="22"/>
      <c r="AB799" s="22"/>
      <c r="AC799" s="22"/>
      <c r="AD799" s="22"/>
      <c r="AE799" s="22"/>
    </row>
    <row r="800">
      <c r="A800" s="22"/>
      <c r="B800" s="22" t="str">
        <f>IF(ISBLANK(A800),"",VLOOKUP(A800,DOI_URL!$B$1:$C$74,2,FALSE()))</f>
        <v/>
      </c>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c r="AA800" s="22"/>
      <c r="AB800" s="22"/>
      <c r="AC800" s="22"/>
      <c r="AD800" s="22"/>
      <c r="AE800" s="22"/>
    </row>
    <row r="801">
      <c r="A801" s="22"/>
      <c r="B801" s="22" t="str">
        <f>IF(ISBLANK(A801),"",VLOOKUP(A801,DOI_URL!$B$1:$C$74,2,FALSE()))</f>
        <v/>
      </c>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c r="AA801" s="22"/>
      <c r="AB801" s="22"/>
      <c r="AC801" s="22"/>
      <c r="AD801" s="22"/>
      <c r="AE801" s="22"/>
    </row>
    <row r="802">
      <c r="A802" s="22"/>
      <c r="B802" s="22" t="str">
        <f>IF(ISBLANK(A802),"",VLOOKUP(A802,DOI_URL!$B$1:$C$74,2,FALSE()))</f>
        <v/>
      </c>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c r="AA802" s="22"/>
      <c r="AB802" s="22"/>
      <c r="AC802" s="22"/>
      <c r="AD802" s="22"/>
      <c r="AE802" s="22"/>
    </row>
    <row r="803">
      <c r="A803" s="22"/>
      <c r="B803" s="22" t="str">
        <f>IF(ISBLANK(A803),"",VLOOKUP(A803,DOI_URL!$B$1:$C$74,2,FALSE()))</f>
        <v/>
      </c>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c r="AA803" s="22"/>
      <c r="AB803" s="22"/>
      <c r="AC803" s="22"/>
      <c r="AD803" s="22"/>
      <c r="AE803" s="22"/>
    </row>
    <row r="804">
      <c r="A804" s="22"/>
      <c r="B804" s="22" t="str">
        <f>IF(ISBLANK(A804),"",VLOOKUP(A804,DOI_URL!$B$1:$C$74,2,FALSE()))</f>
        <v/>
      </c>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c r="AA804" s="22"/>
      <c r="AB804" s="22"/>
      <c r="AC804" s="22"/>
      <c r="AD804" s="22"/>
      <c r="AE804" s="22"/>
    </row>
    <row r="805">
      <c r="A805" s="22"/>
      <c r="B805" s="22" t="str">
        <f>IF(ISBLANK(A805),"",VLOOKUP(A805,DOI_URL!$B$1:$C$74,2,FALSE()))</f>
        <v/>
      </c>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c r="AA805" s="22"/>
      <c r="AB805" s="22"/>
      <c r="AC805" s="22"/>
      <c r="AD805" s="22"/>
      <c r="AE805" s="22"/>
    </row>
    <row r="806">
      <c r="A806" s="22"/>
      <c r="B806" s="22" t="str">
        <f>IF(ISBLANK(A806),"",VLOOKUP(A806,DOI_URL!$B$1:$C$74,2,FALSE()))</f>
        <v/>
      </c>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c r="AA806" s="22"/>
      <c r="AB806" s="22"/>
      <c r="AC806" s="22"/>
      <c r="AD806" s="22"/>
      <c r="AE806" s="22"/>
    </row>
    <row r="807">
      <c r="A807" s="22"/>
      <c r="B807" s="22" t="str">
        <f>IF(ISBLANK(A807),"",VLOOKUP(A807,DOI_URL!$B$1:$C$74,2,FALSE()))</f>
        <v/>
      </c>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c r="AA807" s="22"/>
      <c r="AB807" s="22"/>
      <c r="AC807" s="22"/>
      <c r="AD807" s="22"/>
      <c r="AE807" s="22"/>
    </row>
    <row r="808">
      <c r="A808" s="22"/>
      <c r="B808" s="22" t="str">
        <f>IF(ISBLANK(A808),"",VLOOKUP(A808,DOI_URL!$B$1:$C$74,2,FALSE()))</f>
        <v/>
      </c>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c r="AA808" s="22"/>
      <c r="AB808" s="22"/>
      <c r="AC808" s="22"/>
      <c r="AD808" s="22"/>
      <c r="AE808" s="22"/>
    </row>
    <row r="809">
      <c r="A809" s="22"/>
      <c r="B809" s="22" t="str">
        <f>IF(ISBLANK(A809),"",VLOOKUP(A809,DOI_URL!$B$1:$C$74,2,FALSE()))</f>
        <v/>
      </c>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c r="AA809" s="22"/>
      <c r="AB809" s="22"/>
      <c r="AC809" s="22"/>
      <c r="AD809" s="22"/>
      <c r="AE809" s="22"/>
    </row>
    <row r="810">
      <c r="A810" s="22"/>
      <c r="B810" s="22" t="str">
        <f>IF(ISBLANK(A810),"",VLOOKUP(A810,DOI_URL!$B$1:$C$74,2,FALSE()))</f>
        <v/>
      </c>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c r="AA810" s="22"/>
      <c r="AB810" s="22"/>
      <c r="AC810" s="22"/>
      <c r="AD810" s="22"/>
      <c r="AE810" s="22"/>
    </row>
    <row r="811">
      <c r="A811" s="22"/>
      <c r="B811" s="22" t="str">
        <f>IF(ISBLANK(A811),"",VLOOKUP(A811,DOI_URL!$B$1:$C$74,2,FALSE()))</f>
        <v/>
      </c>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c r="AA811" s="22"/>
      <c r="AB811" s="22"/>
      <c r="AC811" s="22"/>
      <c r="AD811" s="22"/>
      <c r="AE811" s="22"/>
    </row>
    <row r="812">
      <c r="A812" s="22"/>
      <c r="B812" s="22" t="str">
        <f>IF(ISBLANK(A812),"",VLOOKUP(A812,DOI_URL!$B$1:$C$74,2,FALSE()))</f>
        <v/>
      </c>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c r="AA812" s="22"/>
      <c r="AB812" s="22"/>
      <c r="AC812" s="22"/>
      <c r="AD812" s="22"/>
      <c r="AE812" s="22"/>
    </row>
    <row r="813">
      <c r="A813" s="22"/>
      <c r="B813" s="22" t="str">
        <f>IF(ISBLANK(A813),"",VLOOKUP(A813,DOI_URL!$B$1:$C$74,2,FALSE()))</f>
        <v/>
      </c>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c r="AA813" s="22"/>
      <c r="AB813" s="22"/>
      <c r="AC813" s="22"/>
      <c r="AD813" s="22"/>
      <c r="AE813" s="22"/>
    </row>
    <row r="814">
      <c r="A814" s="22"/>
      <c r="B814" s="22" t="str">
        <f>IF(ISBLANK(A814),"",VLOOKUP(A814,DOI_URL!$B$1:$C$74,2,FALSE()))</f>
        <v/>
      </c>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c r="AA814" s="22"/>
      <c r="AB814" s="22"/>
      <c r="AC814" s="22"/>
      <c r="AD814" s="22"/>
      <c r="AE814" s="22"/>
    </row>
    <row r="815">
      <c r="A815" s="22"/>
      <c r="B815" s="22" t="str">
        <f>IF(ISBLANK(A815),"",VLOOKUP(A815,DOI_URL!$B$1:$C$74,2,FALSE()))</f>
        <v/>
      </c>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c r="AA815" s="22"/>
      <c r="AB815" s="22"/>
      <c r="AC815" s="22"/>
      <c r="AD815" s="22"/>
      <c r="AE815" s="22"/>
    </row>
    <row r="816">
      <c r="A816" s="22"/>
      <c r="B816" s="22" t="str">
        <f>IF(ISBLANK(A816),"",VLOOKUP(A816,DOI_URL!$B$1:$C$74,2,FALSE()))</f>
        <v/>
      </c>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c r="AA816" s="22"/>
      <c r="AB816" s="22"/>
      <c r="AC816" s="22"/>
      <c r="AD816" s="22"/>
      <c r="AE816" s="22"/>
    </row>
    <row r="817">
      <c r="A817" s="22"/>
      <c r="B817" s="22" t="str">
        <f>IF(ISBLANK(A817),"",VLOOKUP(A817,DOI_URL!$B$1:$C$74,2,FALSE()))</f>
        <v/>
      </c>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c r="AA817" s="22"/>
      <c r="AB817" s="22"/>
      <c r="AC817" s="22"/>
      <c r="AD817" s="22"/>
      <c r="AE817" s="22"/>
    </row>
    <row r="818">
      <c r="A818" s="22"/>
      <c r="B818" s="22" t="str">
        <f>IF(ISBLANK(A818),"",VLOOKUP(A818,DOI_URL!$B$1:$C$74,2,FALSE()))</f>
        <v/>
      </c>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c r="AA818" s="22"/>
      <c r="AB818" s="22"/>
      <c r="AC818" s="22"/>
      <c r="AD818" s="22"/>
      <c r="AE818" s="22"/>
    </row>
    <row r="819">
      <c r="A819" s="22"/>
      <c r="B819" s="22" t="str">
        <f>IF(ISBLANK(A819),"",VLOOKUP(A819,DOI_URL!$B$1:$C$74,2,FALSE()))</f>
        <v/>
      </c>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c r="AA819" s="22"/>
      <c r="AB819" s="22"/>
      <c r="AC819" s="22"/>
      <c r="AD819" s="22"/>
      <c r="AE819" s="22"/>
    </row>
    <row r="820">
      <c r="A820" s="22"/>
      <c r="B820" s="22" t="str">
        <f>IF(ISBLANK(A820),"",VLOOKUP(A820,DOI_URL!$B$1:$C$74,2,FALSE()))</f>
        <v/>
      </c>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c r="AA820" s="22"/>
      <c r="AB820" s="22"/>
      <c r="AC820" s="22"/>
      <c r="AD820" s="22"/>
      <c r="AE820" s="22"/>
    </row>
    <row r="821">
      <c r="A821" s="22"/>
      <c r="B821" s="22" t="str">
        <f>IF(ISBLANK(A821),"",VLOOKUP(A821,DOI_URL!$B$1:$C$74,2,FALSE()))</f>
        <v/>
      </c>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c r="AA821" s="22"/>
      <c r="AB821" s="22"/>
      <c r="AC821" s="22"/>
      <c r="AD821" s="22"/>
      <c r="AE821" s="22"/>
    </row>
    <row r="822">
      <c r="A822" s="22"/>
      <c r="B822" s="22" t="str">
        <f>IF(ISBLANK(A822),"",VLOOKUP(A822,DOI_URL!$B$1:$C$74,2,FALSE()))</f>
        <v/>
      </c>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c r="AA822" s="22"/>
      <c r="AB822" s="22"/>
      <c r="AC822" s="22"/>
      <c r="AD822" s="22"/>
      <c r="AE822" s="22"/>
    </row>
    <row r="823">
      <c r="A823" s="22"/>
      <c r="B823" s="22" t="str">
        <f>IF(ISBLANK(A823),"",VLOOKUP(A823,DOI_URL!$B$1:$C$74,2,FALSE()))</f>
        <v/>
      </c>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c r="AA823" s="22"/>
      <c r="AB823" s="22"/>
      <c r="AC823" s="22"/>
      <c r="AD823" s="22"/>
      <c r="AE823" s="22"/>
    </row>
    <row r="824">
      <c r="A824" s="22"/>
      <c r="B824" s="22" t="str">
        <f>IF(ISBLANK(A824),"",VLOOKUP(A824,DOI_URL!$B$1:$C$74,2,FALSE()))</f>
        <v/>
      </c>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c r="AA824" s="22"/>
      <c r="AB824" s="22"/>
      <c r="AC824" s="22"/>
      <c r="AD824" s="22"/>
      <c r="AE824" s="22"/>
    </row>
    <row r="825">
      <c r="A825" s="22"/>
      <c r="B825" s="22" t="str">
        <f>IF(ISBLANK(A825),"",VLOOKUP(A825,DOI_URL!$B$1:$C$74,2,FALSE()))</f>
        <v/>
      </c>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c r="AA825" s="22"/>
      <c r="AB825" s="22"/>
      <c r="AC825" s="22"/>
      <c r="AD825" s="22"/>
      <c r="AE825" s="22"/>
    </row>
    <row r="826">
      <c r="A826" s="22"/>
      <c r="B826" s="22" t="str">
        <f>IF(ISBLANK(A826),"",VLOOKUP(A826,DOI_URL!$B$1:$C$74,2,FALSE()))</f>
        <v/>
      </c>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c r="AA826" s="22"/>
      <c r="AB826" s="22"/>
      <c r="AC826" s="22"/>
      <c r="AD826" s="22"/>
      <c r="AE826" s="22"/>
    </row>
    <row r="827">
      <c r="A827" s="22"/>
      <c r="B827" s="22" t="str">
        <f>IF(ISBLANK(A827),"",VLOOKUP(A827,DOI_URL!$B$1:$C$74,2,FALSE()))</f>
        <v/>
      </c>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c r="AA827" s="22"/>
      <c r="AB827" s="22"/>
      <c r="AC827" s="22"/>
      <c r="AD827" s="22"/>
      <c r="AE827" s="22"/>
    </row>
    <row r="828">
      <c r="A828" s="22"/>
      <c r="B828" s="22" t="str">
        <f>IF(ISBLANK(A828),"",VLOOKUP(A828,DOI_URL!$B$1:$C$74,2,FALSE()))</f>
        <v/>
      </c>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c r="AA828" s="22"/>
      <c r="AB828" s="22"/>
      <c r="AC828" s="22"/>
      <c r="AD828" s="22"/>
      <c r="AE828" s="22"/>
    </row>
    <row r="829">
      <c r="A829" s="22"/>
      <c r="B829" s="22" t="str">
        <f>IF(ISBLANK(A829),"",VLOOKUP(A829,DOI_URL!$B$1:$C$74,2,FALSE()))</f>
        <v/>
      </c>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c r="AA829" s="22"/>
      <c r="AB829" s="22"/>
      <c r="AC829" s="22"/>
      <c r="AD829" s="22"/>
      <c r="AE829" s="22"/>
    </row>
    <row r="830">
      <c r="A830" s="22"/>
      <c r="B830" s="22" t="str">
        <f>IF(ISBLANK(A830),"",VLOOKUP(A830,DOI_URL!$B$1:$C$74,2,FALSE()))</f>
        <v/>
      </c>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c r="AA830" s="22"/>
      <c r="AB830" s="22"/>
      <c r="AC830" s="22"/>
      <c r="AD830" s="22"/>
      <c r="AE830" s="22"/>
    </row>
    <row r="831">
      <c r="A831" s="22"/>
      <c r="B831" s="22" t="str">
        <f>IF(ISBLANK(A831),"",VLOOKUP(A831,DOI_URL!$B$1:$C$74,2,FALSE()))</f>
        <v/>
      </c>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c r="AA831" s="22"/>
      <c r="AB831" s="22"/>
      <c r="AC831" s="22"/>
      <c r="AD831" s="22"/>
      <c r="AE831" s="22"/>
    </row>
    <row r="832">
      <c r="A832" s="22"/>
      <c r="B832" s="22" t="str">
        <f>IF(ISBLANK(A832),"",VLOOKUP(A832,DOI_URL!$B$1:$C$74,2,FALSE()))</f>
        <v/>
      </c>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c r="AA832" s="22"/>
      <c r="AB832" s="22"/>
      <c r="AC832" s="22"/>
      <c r="AD832" s="22"/>
      <c r="AE832" s="22"/>
    </row>
    <row r="833">
      <c r="A833" s="22"/>
      <c r="B833" s="22" t="str">
        <f>IF(ISBLANK(A833),"",VLOOKUP(A833,DOI_URL!$B$1:$C$74,2,FALSE()))</f>
        <v/>
      </c>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c r="AA833" s="22"/>
      <c r="AB833" s="22"/>
      <c r="AC833" s="22"/>
      <c r="AD833" s="22"/>
      <c r="AE833" s="22"/>
    </row>
    <row r="834">
      <c r="A834" s="22"/>
      <c r="B834" s="22" t="str">
        <f>IF(ISBLANK(A834),"",VLOOKUP(A834,DOI_URL!$B$1:$C$74,2,FALSE()))</f>
        <v/>
      </c>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c r="AA834" s="22"/>
      <c r="AB834" s="22"/>
      <c r="AC834" s="22"/>
      <c r="AD834" s="22"/>
      <c r="AE834" s="22"/>
    </row>
    <row r="835">
      <c r="A835" s="22"/>
      <c r="B835" s="22" t="str">
        <f>IF(ISBLANK(A835),"",VLOOKUP(A835,DOI_URL!$B$1:$C$74,2,FALSE()))</f>
        <v/>
      </c>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c r="AA835" s="22"/>
      <c r="AB835" s="22"/>
      <c r="AC835" s="22"/>
      <c r="AD835" s="22"/>
      <c r="AE835" s="22"/>
    </row>
    <row r="836">
      <c r="A836" s="22"/>
      <c r="B836" s="22" t="str">
        <f>IF(ISBLANK(A836),"",VLOOKUP(A836,DOI_URL!$B$1:$C$74,2,FALSE()))</f>
        <v/>
      </c>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c r="AA836" s="22"/>
      <c r="AB836" s="22"/>
      <c r="AC836" s="22"/>
      <c r="AD836" s="22"/>
      <c r="AE836" s="22"/>
    </row>
    <row r="837">
      <c r="A837" s="22"/>
      <c r="B837" s="22" t="str">
        <f>IF(ISBLANK(A837),"",VLOOKUP(A837,DOI_URL!$B$1:$C$74,2,FALSE()))</f>
        <v/>
      </c>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c r="AA837" s="22"/>
      <c r="AB837" s="22"/>
      <c r="AC837" s="22"/>
      <c r="AD837" s="22"/>
      <c r="AE837" s="22"/>
    </row>
    <row r="838">
      <c r="A838" s="22"/>
      <c r="B838" s="22" t="str">
        <f>IF(ISBLANK(A838),"",VLOOKUP(A838,DOI_URL!$B$1:$C$74,2,FALSE()))</f>
        <v/>
      </c>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c r="AA838" s="22"/>
      <c r="AB838" s="22"/>
      <c r="AC838" s="22"/>
      <c r="AD838" s="22"/>
      <c r="AE838" s="22"/>
    </row>
    <row r="839">
      <c r="A839" s="22"/>
      <c r="B839" s="22" t="str">
        <f>IF(ISBLANK(A839),"",VLOOKUP(A839,DOI_URL!$B$1:$C$74,2,FALSE()))</f>
        <v/>
      </c>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c r="AA839" s="22"/>
      <c r="AB839" s="22"/>
      <c r="AC839" s="22"/>
      <c r="AD839" s="22"/>
      <c r="AE839" s="22"/>
    </row>
    <row r="840">
      <c r="A840" s="22"/>
      <c r="B840" s="22" t="str">
        <f>IF(ISBLANK(A840),"",VLOOKUP(A840,DOI_URL!$B$1:$C$74,2,FALSE()))</f>
        <v/>
      </c>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c r="AA840" s="22"/>
      <c r="AB840" s="22"/>
      <c r="AC840" s="22"/>
      <c r="AD840" s="22"/>
      <c r="AE840" s="22"/>
    </row>
    <row r="841">
      <c r="A841" s="22"/>
      <c r="B841" s="22" t="str">
        <f>IF(ISBLANK(A841),"",VLOOKUP(A841,DOI_URL!$B$1:$C$74,2,FALSE()))</f>
        <v/>
      </c>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c r="AA841" s="22"/>
      <c r="AB841" s="22"/>
      <c r="AC841" s="22"/>
      <c r="AD841" s="22"/>
      <c r="AE841" s="22"/>
    </row>
    <row r="842">
      <c r="A842" s="22"/>
      <c r="B842" s="22" t="str">
        <f>IF(ISBLANK(A842),"",VLOOKUP(A842,DOI_URL!$B$1:$C$74,2,FALSE()))</f>
        <v/>
      </c>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c r="AA842" s="22"/>
      <c r="AB842" s="22"/>
      <c r="AC842" s="22"/>
      <c r="AD842" s="22"/>
      <c r="AE842" s="22"/>
    </row>
    <row r="843">
      <c r="A843" s="22"/>
      <c r="B843" s="22" t="str">
        <f>IF(ISBLANK(A843),"",VLOOKUP(A843,DOI_URL!$B$1:$C$74,2,FALSE()))</f>
        <v/>
      </c>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c r="AA843" s="22"/>
      <c r="AB843" s="22"/>
      <c r="AC843" s="22"/>
      <c r="AD843" s="22"/>
      <c r="AE843" s="22"/>
    </row>
    <row r="844">
      <c r="A844" s="22"/>
      <c r="B844" s="22" t="str">
        <f>IF(ISBLANK(A844),"",VLOOKUP(A844,DOI_URL!$B$1:$C$74,2,FALSE()))</f>
        <v/>
      </c>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c r="AA844" s="22"/>
      <c r="AB844" s="22"/>
      <c r="AC844" s="22"/>
      <c r="AD844" s="22"/>
      <c r="AE844" s="22"/>
    </row>
    <row r="845">
      <c r="A845" s="22"/>
      <c r="B845" s="22" t="str">
        <f>IF(ISBLANK(A845),"",VLOOKUP(A845,DOI_URL!$B$1:$C$74,2,FALSE()))</f>
        <v/>
      </c>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c r="AA845" s="22"/>
      <c r="AB845" s="22"/>
      <c r="AC845" s="22"/>
      <c r="AD845" s="22"/>
      <c r="AE845" s="22"/>
    </row>
    <row r="846">
      <c r="A846" s="22"/>
      <c r="B846" s="22" t="str">
        <f>IF(ISBLANK(A846),"",VLOOKUP(A846,DOI_URL!$B$1:$C$74,2,FALSE()))</f>
        <v/>
      </c>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c r="AA846" s="22"/>
      <c r="AB846" s="22"/>
      <c r="AC846" s="22"/>
      <c r="AD846" s="22"/>
      <c r="AE846" s="22"/>
    </row>
    <row r="847">
      <c r="A847" s="22"/>
      <c r="B847" s="22" t="str">
        <f>IF(ISBLANK(A847),"",VLOOKUP(A847,DOI_URL!$B$1:$C$74,2,FALSE()))</f>
        <v/>
      </c>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c r="AA847" s="22"/>
      <c r="AB847" s="22"/>
      <c r="AC847" s="22"/>
      <c r="AD847" s="22"/>
      <c r="AE847" s="22"/>
    </row>
    <row r="848">
      <c r="A848" s="22"/>
      <c r="B848" s="22" t="str">
        <f>IF(ISBLANK(A848),"",VLOOKUP(A848,DOI_URL!$B$1:$C$74,2,FALSE()))</f>
        <v/>
      </c>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c r="AA848" s="22"/>
      <c r="AB848" s="22"/>
      <c r="AC848" s="22"/>
      <c r="AD848" s="22"/>
      <c r="AE848" s="22"/>
    </row>
    <row r="849">
      <c r="A849" s="22"/>
      <c r="B849" s="22" t="str">
        <f>IF(ISBLANK(A849),"",VLOOKUP(A849,DOI_URL!$B$1:$C$74,2,FALSE()))</f>
        <v/>
      </c>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c r="AA849" s="22"/>
      <c r="AB849" s="22"/>
      <c r="AC849" s="22"/>
      <c r="AD849" s="22"/>
      <c r="AE849" s="22"/>
    </row>
    <row r="850">
      <c r="A850" s="22"/>
      <c r="B850" s="22" t="str">
        <f>IF(ISBLANK(A850),"",VLOOKUP(A850,DOI_URL!$B$1:$C$74,2,FALSE()))</f>
        <v/>
      </c>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c r="AA850" s="22"/>
      <c r="AB850" s="22"/>
      <c r="AC850" s="22"/>
      <c r="AD850" s="22"/>
      <c r="AE850" s="22"/>
    </row>
    <row r="851">
      <c r="A851" s="22"/>
      <c r="B851" s="22" t="str">
        <f>IF(ISBLANK(A851),"",VLOOKUP(A851,DOI_URL!$B$1:$C$74,2,FALSE()))</f>
        <v/>
      </c>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c r="AA851" s="22"/>
      <c r="AB851" s="22"/>
      <c r="AC851" s="22"/>
      <c r="AD851" s="22"/>
      <c r="AE851" s="22"/>
    </row>
    <row r="852">
      <c r="A852" s="22"/>
      <c r="B852" s="22" t="str">
        <f>IF(ISBLANK(A852),"",VLOOKUP(A852,DOI_URL!$B$1:$C$74,2,FALSE()))</f>
        <v/>
      </c>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c r="AA852" s="22"/>
      <c r="AB852" s="22"/>
      <c r="AC852" s="22"/>
      <c r="AD852" s="22"/>
      <c r="AE852" s="22"/>
    </row>
    <row r="853">
      <c r="A853" s="22"/>
      <c r="B853" s="22" t="str">
        <f>IF(ISBLANK(A853),"",VLOOKUP(A853,DOI_URL!$B$1:$C$74,2,FALSE()))</f>
        <v/>
      </c>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c r="AA853" s="22"/>
      <c r="AB853" s="22"/>
      <c r="AC853" s="22"/>
      <c r="AD853" s="22"/>
      <c r="AE853" s="22"/>
    </row>
    <row r="854">
      <c r="A854" s="22"/>
      <c r="B854" s="22" t="str">
        <f>IF(ISBLANK(A854),"",VLOOKUP(A854,DOI_URL!$B$1:$C$74,2,FALSE()))</f>
        <v/>
      </c>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c r="AA854" s="22"/>
      <c r="AB854" s="22"/>
      <c r="AC854" s="22"/>
      <c r="AD854" s="22"/>
      <c r="AE854" s="22"/>
    </row>
    <row r="855">
      <c r="A855" s="22"/>
      <c r="B855" s="22" t="str">
        <f>IF(ISBLANK(A855),"",VLOOKUP(A855,DOI_URL!$B$1:$C$74,2,FALSE()))</f>
        <v/>
      </c>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c r="AA855" s="22"/>
      <c r="AB855" s="22"/>
      <c r="AC855" s="22"/>
      <c r="AD855" s="22"/>
      <c r="AE855" s="22"/>
    </row>
    <row r="856">
      <c r="A856" s="22"/>
      <c r="B856" s="22" t="str">
        <f>IF(ISBLANK(A856),"",VLOOKUP(A856,DOI_URL!$B$1:$C$74,2,FALSE()))</f>
        <v/>
      </c>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c r="AA856" s="22"/>
      <c r="AB856" s="22"/>
      <c r="AC856" s="22"/>
      <c r="AD856" s="22"/>
      <c r="AE856" s="22"/>
    </row>
    <row r="857">
      <c r="A857" s="22"/>
      <c r="B857" s="22" t="str">
        <f>IF(ISBLANK(A857),"",VLOOKUP(A857,DOI_URL!$B$1:$C$74,2,FALSE()))</f>
        <v/>
      </c>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c r="AA857" s="22"/>
      <c r="AB857" s="22"/>
      <c r="AC857" s="22"/>
      <c r="AD857" s="22"/>
      <c r="AE857" s="22"/>
    </row>
    <row r="858">
      <c r="A858" s="22"/>
      <c r="B858" s="22" t="str">
        <f>IF(ISBLANK(A858),"",VLOOKUP(A858,DOI_URL!$B$1:$C$74,2,FALSE()))</f>
        <v/>
      </c>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c r="AA858" s="22"/>
      <c r="AB858" s="22"/>
      <c r="AC858" s="22"/>
      <c r="AD858" s="22"/>
      <c r="AE858" s="22"/>
    </row>
    <row r="859">
      <c r="A859" s="22"/>
      <c r="B859" s="22" t="str">
        <f>IF(ISBLANK(A859),"",VLOOKUP(A859,DOI_URL!$B$1:$C$74,2,FALSE()))</f>
        <v/>
      </c>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c r="AA859" s="22"/>
      <c r="AB859" s="22"/>
      <c r="AC859" s="22"/>
      <c r="AD859" s="22"/>
      <c r="AE859" s="22"/>
    </row>
    <row r="860">
      <c r="A860" s="22"/>
      <c r="B860" s="22" t="str">
        <f>IF(ISBLANK(A860),"",VLOOKUP(A860,DOI_URL!$B$1:$C$74,2,FALSE()))</f>
        <v/>
      </c>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c r="AA860" s="22"/>
      <c r="AB860" s="22"/>
      <c r="AC860" s="22"/>
      <c r="AD860" s="22"/>
      <c r="AE860" s="22"/>
    </row>
    <row r="861">
      <c r="A861" s="22"/>
      <c r="B861" s="22" t="str">
        <f>IF(ISBLANK(A861),"",VLOOKUP(A861,DOI_URL!$B$1:$C$74,2,FALSE()))</f>
        <v/>
      </c>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c r="AA861" s="22"/>
      <c r="AB861" s="22"/>
      <c r="AC861" s="22"/>
      <c r="AD861" s="22"/>
      <c r="AE861" s="22"/>
    </row>
    <row r="862">
      <c r="A862" s="22"/>
      <c r="B862" s="22" t="str">
        <f>IF(ISBLANK(A862),"",VLOOKUP(A862,DOI_URL!$B$1:$C$74,2,FALSE()))</f>
        <v/>
      </c>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c r="AA862" s="22"/>
      <c r="AB862" s="22"/>
      <c r="AC862" s="22"/>
      <c r="AD862" s="22"/>
      <c r="AE862" s="22"/>
    </row>
    <row r="863">
      <c r="A863" s="22"/>
      <c r="B863" s="22" t="str">
        <f>IF(ISBLANK(A863),"",VLOOKUP(A863,DOI_URL!$B$1:$C$74,2,FALSE()))</f>
        <v/>
      </c>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c r="AA863" s="22"/>
      <c r="AB863" s="22"/>
      <c r="AC863" s="22"/>
      <c r="AD863" s="22"/>
      <c r="AE863" s="22"/>
    </row>
    <row r="864">
      <c r="A864" s="22"/>
      <c r="B864" s="22" t="str">
        <f>IF(ISBLANK(A864),"",VLOOKUP(A864,DOI_URL!$B$1:$C$74,2,FALSE()))</f>
        <v/>
      </c>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c r="AA864" s="22"/>
      <c r="AB864" s="22"/>
      <c r="AC864" s="22"/>
      <c r="AD864" s="22"/>
      <c r="AE864" s="22"/>
    </row>
    <row r="865">
      <c r="A865" s="22"/>
      <c r="B865" s="22" t="str">
        <f>IF(ISBLANK(A865),"",VLOOKUP(A865,DOI_URL!$B$1:$C$74,2,FALSE()))</f>
        <v/>
      </c>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c r="AA865" s="22"/>
      <c r="AB865" s="22"/>
      <c r="AC865" s="22"/>
      <c r="AD865" s="22"/>
      <c r="AE865" s="22"/>
    </row>
    <row r="866">
      <c r="A866" s="22"/>
      <c r="B866" s="22" t="str">
        <f>IF(ISBLANK(A866),"",VLOOKUP(A866,DOI_URL!$B$1:$C$74,2,FALSE()))</f>
        <v/>
      </c>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c r="AA866" s="22"/>
      <c r="AB866" s="22"/>
      <c r="AC866" s="22"/>
      <c r="AD866" s="22"/>
      <c r="AE866" s="22"/>
    </row>
    <row r="867">
      <c r="A867" s="22"/>
      <c r="B867" s="22" t="str">
        <f>IF(ISBLANK(A867),"",VLOOKUP(A867,DOI_URL!$B$1:$C$74,2,FALSE()))</f>
        <v/>
      </c>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c r="AA867" s="22"/>
      <c r="AB867" s="22"/>
      <c r="AC867" s="22"/>
      <c r="AD867" s="22"/>
      <c r="AE867" s="22"/>
    </row>
    <row r="868">
      <c r="A868" s="22"/>
      <c r="B868" s="22" t="str">
        <f>IF(ISBLANK(A868),"",VLOOKUP(A868,DOI_URL!$B$1:$C$74,2,FALSE()))</f>
        <v/>
      </c>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c r="AA868" s="22"/>
      <c r="AB868" s="22"/>
      <c r="AC868" s="22"/>
      <c r="AD868" s="22"/>
      <c r="AE868" s="22"/>
    </row>
    <row r="869">
      <c r="A869" s="22"/>
      <c r="B869" s="22" t="str">
        <f>IF(ISBLANK(A869),"",VLOOKUP(A869,DOI_URL!$B$1:$C$74,2,FALSE()))</f>
        <v/>
      </c>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c r="AA869" s="22"/>
      <c r="AB869" s="22"/>
      <c r="AC869" s="22"/>
      <c r="AD869" s="22"/>
      <c r="AE869" s="22"/>
    </row>
    <row r="870">
      <c r="A870" s="22"/>
      <c r="B870" s="22" t="str">
        <f>IF(ISBLANK(A870),"",VLOOKUP(A870,DOI_URL!$B$1:$C$74,2,FALSE()))</f>
        <v/>
      </c>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c r="AA870" s="22"/>
      <c r="AB870" s="22"/>
      <c r="AC870" s="22"/>
      <c r="AD870" s="22"/>
      <c r="AE870" s="22"/>
    </row>
    <row r="871">
      <c r="A871" s="22"/>
      <c r="B871" s="22" t="str">
        <f>IF(ISBLANK(A871),"",VLOOKUP(A871,DOI_URL!$B$1:$C$74,2,FALSE()))</f>
        <v/>
      </c>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c r="AA871" s="22"/>
      <c r="AB871" s="22"/>
      <c r="AC871" s="22"/>
      <c r="AD871" s="22"/>
      <c r="AE871" s="22"/>
    </row>
    <row r="872">
      <c r="A872" s="22"/>
      <c r="B872" s="22" t="str">
        <f>IF(ISBLANK(A872),"",VLOOKUP(A872,DOI_URL!$B$1:$C$74,2,FALSE()))</f>
        <v/>
      </c>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c r="AA872" s="22"/>
      <c r="AB872" s="22"/>
      <c r="AC872" s="22"/>
      <c r="AD872" s="22"/>
      <c r="AE872" s="22"/>
    </row>
    <row r="873">
      <c r="A873" s="22"/>
      <c r="B873" s="22" t="str">
        <f>IF(ISBLANK(A873),"",VLOOKUP(A873,DOI_URL!$B$1:$C$74,2,FALSE()))</f>
        <v/>
      </c>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c r="AA873" s="22"/>
      <c r="AB873" s="22"/>
      <c r="AC873" s="22"/>
      <c r="AD873" s="22"/>
      <c r="AE873" s="22"/>
    </row>
    <row r="874">
      <c r="A874" s="22"/>
      <c r="B874" s="22" t="str">
        <f>IF(ISBLANK(A874),"",VLOOKUP(A874,DOI_URL!$B$1:$C$74,2,FALSE()))</f>
        <v/>
      </c>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c r="AA874" s="22"/>
      <c r="AB874" s="22"/>
      <c r="AC874" s="22"/>
      <c r="AD874" s="22"/>
      <c r="AE874" s="22"/>
    </row>
    <row r="875">
      <c r="A875" s="22"/>
      <c r="B875" s="22" t="str">
        <f>IF(ISBLANK(A875),"",VLOOKUP(A875,DOI_URL!$B$1:$C$74,2,FALSE()))</f>
        <v/>
      </c>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c r="AA875" s="22"/>
      <c r="AB875" s="22"/>
      <c r="AC875" s="22"/>
      <c r="AD875" s="22"/>
      <c r="AE875" s="22"/>
    </row>
    <row r="876">
      <c r="A876" s="22"/>
      <c r="B876" s="22" t="str">
        <f>IF(ISBLANK(A876),"",VLOOKUP(A876,DOI_URL!$B$1:$C$74,2,FALSE()))</f>
        <v/>
      </c>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c r="AA876" s="22"/>
      <c r="AB876" s="22"/>
      <c r="AC876" s="22"/>
      <c r="AD876" s="22"/>
      <c r="AE876" s="22"/>
    </row>
    <row r="877">
      <c r="A877" s="22"/>
      <c r="B877" s="22" t="str">
        <f>IF(ISBLANK(A877),"",VLOOKUP(A877,DOI_URL!$B$1:$C$74,2,FALSE()))</f>
        <v/>
      </c>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c r="AA877" s="22"/>
      <c r="AB877" s="22"/>
      <c r="AC877" s="22"/>
      <c r="AD877" s="22"/>
      <c r="AE877" s="22"/>
    </row>
    <row r="878">
      <c r="A878" s="22"/>
      <c r="B878" s="22" t="str">
        <f>IF(ISBLANK(A878),"",VLOOKUP(A878,DOI_URL!$B$1:$C$74,2,FALSE()))</f>
        <v/>
      </c>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c r="AA878" s="22"/>
      <c r="AB878" s="22"/>
      <c r="AC878" s="22"/>
      <c r="AD878" s="22"/>
      <c r="AE878" s="22"/>
    </row>
    <row r="879">
      <c r="A879" s="22"/>
      <c r="B879" s="22" t="str">
        <f>IF(ISBLANK(A879),"",VLOOKUP(A879,DOI_URL!$B$1:$C$74,2,FALSE()))</f>
        <v/>
      </c>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c r="AA879" s="22"/>
      <c r="AB879" s="22"/>
      <c r="AC879" s="22"/>
      <c r="AD879" s="22"/>
      <c r="AE879" s="22"/>
    </row>
    <row r="880">
      <c r="A880" s="22"/>
      <c r="B880" s="22" t="str">
        <f>IF(ISBLANK(A880),"",VLOOKUP(A880,DOI_URL!$B$1:$C$74,2,FALSE()))</f>
        <v/>
      </c>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c r="AA880" s="22"/>
      <c r="AB880" s="22"/>
      <c r="AC880" s="22"/>
      <c r="AD880" s="22"/>
      <c r="AE880" s="22"/>
    </row>
    <row r="881">
      <c r="A881" s="22"/>
      <c r="B881" s="22" t="str">
        <f>IF(ISBLANK(A881),"",VLOOKUP(A881,DOI_URL!$B$1:$C$74,2,FALSE()))</f>
        <v/>
      </c>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c r="AA881" s="22"/>
      <c r="AB881" s="22"/>
      <c r="AC881" s="22"/>
      <c r="AD881" s="22"/>
      <c r="AE881" s="22"/>
    </row>
    <row r="882">
      <c r="A882" s="22"/>
      <c r="B882" s="22" t="str">
        <f>IF(ISBLANK(A882),"",VLOOKUP(A882,DOI_URL!$B$1:$C$74,2,FALSE()))</f>
        <v/>
      </c>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c r="AA882" s="22"/>
      <c r="AB882" s="22"/>
      <c r="AC882" s="22"/>
      <c r="AD882" s="22"/>
      <c r="AE882" s="22"/>
    </row>
    <row r="883">
      <c r="A883" s="22"/>
      <c r="B883" s="22" t="str">
        <f>IF(ISBLANK(A883),"",VLOOKUP(A883,DOI_URL!$B$1:$C$74,2,FALSE()))</f>
        <v/>
      </c>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c r="AA883" s="22"/>
      <c r="AB883" s="22"/>
      <c r="AC883" s="22"/>
      <c r="AD883" s="22"/>
      <c r="AE883" s="22"/>
    </row>
    <row r="884">
      <c r="A884" s="22"/>
      <c r="B884" s="22" t="str">
        <f>IF(ISBLANK(A884),"",VLOOKUP(A884,DOI_URL!$B$1:$C$74,2,FALSE()))</f>
        <v/>
      </c>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c r="AA884" s="22"/>
      <c r="AB884" s="22"/>
      <c r="AC884" s="22"/>
      <c r="AD884" s="22"/>
      <c r="AE884" s="22"/>
    </row>
    <row r="885">
      <c r="A885" s="22"/>
      <c r="B885" s="22" t="str">
        <f>IF(ISBLANK(A885),"",VLOOKUP(A885,DOI_URL!$B$1:$C$74,2,FALSE()))</f>
        <v/>
      </c>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c r="AA885" s="22"/>
      <c r="AB885" s="22"/>
      <c r="AC885" s="22"/>
      <c r="AD885" s="22"/>
      <c r="AE885" s="22"/>
    </row>
    <row r="886">
      <c r="A886" s="22"/>
      <c r="B886" s="22" t="str">
        <f>IF(ISBLANK(A886),"",VLOOKUP(A886,DOI_URL!$B$1:$C$74,2,FALSE()))</f>
        <v/>
      </c>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c r="AA886" s="22"/>
      <c r="AB886" s="22"/>
      <c r="AC886" s="22"/>
      <c r="AD886" s="22"/>
      <c r="AE886" s="22"/>
    </row>
    <row r="887">
      <c r="A887" s="22"/>
      <c r="B887" s="22" t="str">
        <f>IF(ISBLANK(A887),"",VLOOKUP(A887,DOI_URL!$B$1:$C$74,2,FALSE()))</f>
        <v/>
      </c>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c r="AA887" s="22"/>
      <c r="AB887" s="22"/>
      <c r="AC887" s="22"/>
      <c r="AD887" s="22"/>
      <c r="AE887" s="22"/>
    </row>
    <row r="888">
      <c r="A888" s="22"/>
      <c r="B888" s="22" t="str">
        <f>IF(ISBLANK(A888),"",VLOOKUP(A888,DOI_URL!$B$1:$C$74,2,FALSE()))</f>
        <v/>
      </c>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c r="AA888" s="22"/>
      <c r="AB888" s="22"/>
      <c r="AC888" s="22"/>
      <c r="AD888" s="22"/>
      <c r="AE888" s="22"/>
    </row>
    <row r="889">
      <c r="A889" s="22"/>
      <c r="B889" s="22" t="str">
        <f>IF(ISBLANK(A889),"",VLOOKUP(A889,DOI_URL!$B$1:$C$74,2,FALSE()))</f>
        <v/>
      </c>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c r="AA889" s="22"/>
      <c r="AB889" s="22"/>
      <c r="AC889" s="22"/>
      <c r="AD889" s="22"/>
      <c r="AE889" s="22"/>
    </row>
    <row r="890">
      <c r="A890" s="22"/>
      <c r="B890" s="22" t="str">
        <f>IF(ISBLANK(A890),"",VLOOKUP(A890,DOI_URL!$B$1:$C$74,2,FALSE()))</f>
        <v/>
      </c>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c r="AA890" s="22"/>
      <c r="AB890" s="22"/>
      <c r="AC890" s="22"/>
      <c r="AD890" s="22"/>
      <c r="AE890" s="22"/>
    </row>
    <row r="891">
      <c r="A891" s="22"/>
      <c r="B891" s="22" t="str">
        <f>IF(ISBLANK(A891),"",VLOOKUP(A891,DOI_URL!$B$1:$C$74,2,FALSE()))</f>
        <v/>
      </c>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c r="AA891" s="22"/>
      <c r="AB891" s="22"/>
      <c r="AC891" s="22"/>
      <c r="AD891" s="22"/>
      <c r="AE891" s="22"/>
    </row>
    <row r="892">
      <c r="A892" s="22"/>
      <c r="B892" s="22" t="str">
        <f>IF(ISBLANK(A892),"",VLOOKUP(A892,DOI_URL!$B$1:$C$74,2,FALSE()))</f>
        <v/>
      </c>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c r="AA892" s="22"/>
      <c r="AB892" s="22"/>
      <c r="AC892" s="22"/>
      <c r="AD892" s="22"/>
      <c r="AE892" s="22"/>
    </row>
    <row r="893">
      <c r="A893" s="22"/>
      <c r="B893" s="22" t="str">
        <f>IF(ISBLANK(A893),"",VLOOKUP(A893,DOI_URL!$B$1:$C$74,2,FALSE()))</f>
        <v/>
      </c>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c r="AA893" s="22"/>
      <c r="AB893" s="22"/>
      <c r="AC893" s="22"/>
      <c r="AD893" s="22"/>
      <c r="AE893" s="22"/>
    </row>
    <row r="894">
      <c r="A894" s="22"/>
      <c r="B894" s="22" t="str">
        <f>IF(ISBLANK(A894),"",VLOOKUP(A894,DOI_URL!$B$1:$C$74,2,FALSE()))</f>
        <v/>
      </c>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c r="AA894" s="22"/>
      <c r="AB894" s="22"/>
      <c r="AC894" s="22"/>
      <c r="AD894" s="22"/>
      <c r="AE894" s="22"/>
    </row>
    <row r="895">
      <c r="A895" s="22"/>
      <c r="B895" s="22" t="str">
        <f>IF(ISBLANK(A895),"",VLOOKUP(A895,DOI_URL!$B$1:$C$74,2,FALSE()))</f>
        <v/>
      </c>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c r="AA895" s="22"/>
      <c r="AB895" s="22"/>
      <c r="AC895" s="22"/>
      <c r="AD895" s="22"/>
      <c r="AE895" s="22"/>
    </row>
    <row r="896">
      <c r="A896" s="22"/>
      <c r="B896" s="22" t="str">
        <f>IF(ISBLANK(A896),"",VLOOKUP(A896,DOI_URL!$B$1:$C$74,2,FALSE()))</f>
        <v/>
      </c>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c r="AA896" s="22"/>
      <c r="AB896" s="22"/>
      <c r="AC896" s="22"/>
      <c r="AD896" s="22"/>
      <c r="AE896" s="22"/>
    </row>
    <row r="897">
      <c r="A897" s="22"/>
      <c r="B897" s="22" t="str">
        <f>IF(ISBLANK(A897),"",VLOOKUP(A897,DOI_URL!$B$1:$C$74,2,FALSE()))</f>
        <v/>
      </c>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c r="AA897" s="22"/>
      <c r="AB897" s="22"/>
      <c r="AC897" s="22"/>
      <c r="AD897" s="22"/>
      <c r="AE897" s="22"/>
    </row>
    <row r="898">
      <c r="A898" s="22"/>
      <c r="B898" s="22" t="str">
        <f>IF(ISBLANK(A898),"",VLOOKUP(A898,DOI_URL!$B$1:$C$74,2,FALSE()))</f>
        <v/>
      </c>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c r="AA898" s="22"/>
      <c r="AB898" s="22"/>
      <c r="AC898" s="22"/>
      <c r="AD898" s="22"/>
      <c r="AE898" s="22"/>
    </row>
    <row r="899">
      <c r="A899" s="22"/>
      <c r="B899" s="22" t="str">
        <f>IF(ISBLANK(A899),"",VLOOKUP(A899,DOI_URL!$B$1:$C$74,2,FALSE()))</f>
        <v/>
      </c>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c r="AA899" s="22"/>
      <c r="AB899" s="22"/>
      <c r="AC899" s="22"/>
      <c r="AD899" s="22"/>
      <c r="AE899" s="22"/>
    </row>
    <row r="900">
      <c r="A900" s="22"/>
      <c r="B900" s="22" t="str">
        <f>IF(ISBLANK(A900),"",VLOOKUP(A900,DOI_URL!$B$1:$C$74,2,FALSE()))</f>
        <v/>
      </c>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c r="AA900" s="22"/>
      <c r="AB900" s="22"/>
      <c r="AC900" s="22"/>
      <c r="AD900" s="22"/>
      <c r="AE900" s="22"/>
    </row>
    <row r="901">
      <c r="A901" s="22"/>
      <c r="B901" s="22" t="str">
        <f>IF(ISBLANK(A901),"",VLOOKUP(A901,DOI_URL!$B$1:$C$74,2,FALSE()))</f>
        <v/>
      </c>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c r="AA901" s="22"/>
      <c r="AB901" s="22"/>
      <c r="AC901" s="22"/>
      <c r="AD901" s="22"/>
      <c r="AE901" s="22"/>
    </row>
    <row r="902">
      <c r="A902" s="22"/>
      <c r="B902" s="22" t="str">
        <f>IF(ISBLANK(A902),"",VLOOKUP(A902,DOI_URL!$B$1:$C$74,2,FALSE()))</f>
        <v/>
      </c>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c r="AA902" s="22"/>
      <c r="AB902" s="22"/>
      <c r="AC902" s="22"/>
      <c r="AD902" s="22"/>
      <c r="AE902" s="22"/>
    </row>
    <row r="903">
      <c r="A903" s="22"/>
      <c r="B903" s="22" t="str">
        <f>IF(ISBLANK(A903),"",VLOOKUP(A903,DOI_URL!$B$1:$C$74,2,FALSE()))</f>
        <v/>
      </c>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c r="AA903" s="22"/>
      <c r="AB903" s="22"/>
      <c r="AC903" s="22"/>
      <c r="AD903" s="22"/>
      <c r="AE903" s="22"/>
    </row>
    <row r="904">
      <c r="A904" s="22"/>
      <c r="B904" s="22" t="str">
        <f>IF(ISBLANK(A904),"",VLOOKUP(A904,DOI_URL!$B$1:$C$74,2,FALSE()))</f>
        <v/>
      </c>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c r="AA904" s="22"/>
      <c r="AB904" s="22"/>
      <c r="AC904" s="22"/>
      <c r="AD904" s="22"/>
      <c r="AE904" s="22"/>
    </row>
    <row r="905">
      <c r="A905" s="22"/>
      <c r="B905" s="22" t="str">
        <f>IF(ISBLANK(A905),"",VLOOKUP(A905,DOI_URL!$B$1:$C$74,2,FALSE()))</f>
        <v/>
      </c>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c r="AA905" s="22"/>
      <c r="AB905" s="22"/>
      <c r="AC905" s="22"/>
      <c r="AD905" s="22"/>
      <c r="AE905" s="22"/>
    </row>
    <row r="906">
      <c r="A906" s="22"/>
      <c r="B906" s="22" t="str">
        <f>IF(ISBLANK(A906),"",VLOOKUP(A906,DOI_URL!$B$1:$C$74,2,FALSE()))</f>
        <v/>
      </c>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c r="AA906" s="22"/>
      <c r="AB906" s="22"/>
      <c r="AC906" s="22"/>
      <c r="AD906" s="22"/>
      <c r="AE906" s="22"/>
    </row>
    <row r="907">
      <c r="A907" s="22"/>
      <c r="B907" s="22" t="str">
        <f>IF(ISBLANK(A907),"",VLOOKUP(A907,DOI_URL!$B$1:$C$74,2,FALSE()))</f>
        <v/>
      </c>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c r="AA907" s="22"/>
      <c r="AB907" s="22"/>
      <c r="AC907" s="22"/>
      <c r="AD907" s="22"/>
      <c r="AE907" s="22"/>
    </row>
    <row r="908">
      <c r="A908" s="22"/>
      <c r="B908" s="22" t="str">
        <f>IF(ISBLANK(A908),"",VLOOKUP(A908,DOI_URL!$B$1:$C$74,2,FALSE()))</f>
        <v/>
      </c>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c r="AA908" s="22"/>
      <c r="AB908" s="22"/>
      <c r="AC908" s="22"/>
      <c r="AD908" s="22"/>
      <c r="AE908" s="22"/>
    </row>
    <row r="909">
      <c r="A909" s="22"/>
      <c r="B909" s="22" t="str">
        <f>IF(ISBLANK(A909),"",VLOOKUP(A909,DOI_URL!$B$1:$C$74,2,FALSE()))</f>
        <v/>
      </c>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c r="AA909" s="22"/>
      <c r="AB909" s="22"/>
      <c r="AC909" s="22"/>
      <c r="AD909" s="22"/>
      <c r="AE909" s="22"/>
    </row>
    <row r="910">
      <c r="A910" s="22"/>
      <c r="B910" s="22" t="str">
        <f>IF(ISBLANK(A910),"",VLOOKUP(A910,DOI_URL!$B$1:$C$74,2,FALSE()))</f>
        <v/>
      </c>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c r="AA910" s="22"/>
      <c r="AB910" s="22"/>
      <c r="AC910" s="22"/>
      <c r="AD910" s="22"/>
      <c r="AE910" s="22"/>
    </row>
    <row r="911">
      <c r="A911" s="22"/>
      <c r="B911" s="22" t="str">
        <f>IF(ISBLANK(A911),"",VLOOKUP(A911,DOI_URL!$B$1:$C$74,2,FALSE()))</f>
        <v/>
      </c>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c r="AA911" s="22"/>
      <c r="AB911" s="22"/>
      <c r="AC911" s="22"/>
      <c r="AD911" s="22"/>
      <c r="AE911" s="22"/>
    </row>
    <row r="912">
      <c r="A912" s="22"/>
      <c r="B912" s="22" t="str">
        <f>IF(ISBLANK(A912),"",VLOOKUP(A912,DOI_URL!$B$1:$C$74,2,FALSE()))</f>
        <v/>
      </c>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c r="AA912" s="22"/>
      <c r="AB912" s="22"/>
      <c r="AC912" s="22"/>
      <c r="AD912" s="22"/>
      <c r="AE912" s="22"/>
    </row>
    <row r="913">
      <c r="A913" s="22"/>
      <c r="B913" s="22" t="str">
        <f>IF(ISBLANK(A913),"",VLOOKUP(A913,DOI_URL!$B$1:$C$74,2,FALSE()))</f>
        <v/>
      </c>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c r="AA913" s="22"/>
      <c r="AB913" s="22"/>
      <c r="AC913" s="22"/>
      <c r="AD913" s="22"/>
      <c r="AE913" s="22"/>
    </row>
    <row r="914">
      <c r="A914" s="22"/>
      <c r="B914" s="22" t="str">
        <f>IF(ISBLANK(A914),"",VLOOKUP(A914,DOI_URL!$B$1:$C$74,2,FALSE()))</f>
        <v/>
      </c>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c r="AA914" s="22"/>
      <c r="AB914" s="22"/>
      <c r="AC914" s="22"/>
      <c r="AD914" s="22"/>
      <c r="AE914" s="22"/>
    </row>
    <row r="915">
      <c r="A915" s="22"/>
      <c r="B915" s="22" t="str">
        <f>IF(ISBLANK(A915),"",VLOOKUP(A915,DOI_URL!$B$1:$C$74,2,FALSE()))</f>
        <v/>
      </c>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c r="AA915" s="22"/>
      <c r="AB915" s="22"/>
      <c r="AC915" s="22"/>
      <c r="AD915" s="22"/>
      <c r="AE915" s="22"/>
    </row>
    <row r="916">
      <c r="A916" s="22"/>
      <c r="B916" s="22" t="str">
        <f>IF(ISBLANK(A916),"",VLOOKUP(A916,DOI_URL!$B$1:$C$74,2,FALSE()))</f>
        <v/>
      </c>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c r="AA916" s="22"/>
      <c r="AB916" s="22"/>
      <c r="AC916" s="22"/>
      <c r="AD916" s="22"/>
      <c r="AE916" s="22"/>
    </row>
    <row r="917">
      <c r="A917" s="22"/>
      <c r="B917" s="22" t="str">
        <f>IF(ISBLANK(A917),"",VLOOKUP(A917,DOI_URL!$B$1:$C$74,2,FALSE()))</f>
        <v/>
      </c>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c r="AA917" s="22"/>
      <c r="AB917" s="22"/>
      <c r="AC917" s="22"/>
      <c r="AD917" s="22"/>
      <c r="AE917" s="22"/>
    </row>
    <row r="918">
      <c r="A918" s="22"/>
      <c r="B918" s="22" t="str">
        <f>IF(ISBLANK(A918),"",VLOOKUP(A918,DOI_URL!$B$1:$C$74,2,FALSE()))</f>
        <v/>
      </c>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c r="AA918" s="22"/>
      <c r="AB918" s="22"/>
      <c r="AC918" s="22"/>
      <c r="AD918" s="22"/>
      <c r="AE918" s="22"/>
    </row>
    <row r="919">
      <c r="A919" s="22"/>
      <c r="B919" s="22" t="str">
        <f>IF(ISBLANK(A919),"",VLOOKUP(A919,DOI_URL!$B$1:$C$74,2,FALSE()))</f>
        <v/>
      </c>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c r="AA919" s="22"/>
      <c r="AB919" s="22"/>
      <c r="AC919" s="22"/>
      <c r="AD919" s="22"/>
      <c r="AE919" s="22"/>
    </row>
    <row r="920">
      <c r="A920" s="22"/>
      <c r="B920" s="22" t="str">
        <f>IF(ISBLANK(A920),"",VLOOKUP(A920,DOI_URL!$B$1:$C$74,2,FALSE()))</f>
        <v/>
      </c>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c r="AA920" s="22"/>
      <c r="AB920" s="22"/>
      <c r="AC920" s="22"/>
      <c r="AD920" s="22"/>
      <c r="AE920" s="22"/>
    </row>
    <row r="921">
      <c r="A921" s="22"/>
      <c r="B921" s="22" t="str">
        <f>IF(ISBLANK(A921),"",VLOOKUP(A921,DOI_URL!$B$1:$C$74,2,FALSE()))</f>
        <v/>
      </c>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c r="AA921" s="22"/>
      <c r="AB921" s="22"/>
      <c r="AC921" s="22"/>
      <c r="AD921" s="22"/>
      <c r="AE921" s="22"/>
    </row>
    <row r="922">
      <c r="A922" s="22"/>
      <c r="B922" s="22" t="str">
        <f>IF(ISBLANK(A922),"",VLOOKUP(A922,DOI_URL!$B$1:$C$74,2,FALSE()))</f>
        <v/>
      </c>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c r="AA922" s="22"/>
      <c r="AB922" s="22"/>
      <c r="AC922" s="22"/>
      <c r="AD922" s="22"/>
      <c r="AE922" s="22"/>
    </row>
    <row r="923">
      <c r="A923" s="22"/>
      <c r="B923" s="22" t="str">
        <f>IF(ISBLANK(A923),"",VLOOKUP(A923,DOI_URL!$B$1:$C$74,2,FALSE()))</f>
        <v/>
      </c>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c r="AA923" s="22"/>
      <c r="AB923" s="22"/>
      <c r="AC923" s="22"/>
      <c r="AD923" s="22"/>
      <c r="AE923" s="22"/>
    </row>
    <row r="924">
      <c r="A924" s="22"/>
      <c r="B924" s="22" t="str">
        <f>IF(ISBLANK(A924),"",VLOOKUP(A924,DOI_URL!$B$1:$C$74,2,FALSE()))</f>
        <v/>
      </c>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c r="AA924" s="22"/>
      <c r="AB924" s="22"/>
      <c r="AC924" s="22"/>
      <c r="AD924" s="22"/>
      <c r="AE924" s="22"/>
    </row>
    <row r="925">
      <c r="A925" s="22"/>
      <c r="B925" s="22" t="str">
        <f>IF(ISBLANK(A925),"",VLOOKUP(A925,DOI_URL!$B$1:$C$74,2,FALSE()))</f>
        <v/>
      </c>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c r="AA925" s="22"/>
      <c r="AB925" s="22"/>
      <c r="AC925" s="22"/>
      <c r="AD925" s="22"/>
      <c r="AE925" s="22"/>
    </row>
    <row r="926">
      <c r="A926" s="22"/>
      <c r="B926" s="22" t="str">
        <f>IF(ISBLANK(A926),"",VLOOKUP(A926,DOI_URL!$B$1:$C$74,2,FALSE()))</f>
        <v/>
      </c>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c r="AA926" s="22"/>
      <c r="AB926" s="22"/>
      <c r="AC926" s="22"/>
      <c r="AD926" s="22"/>
      <c r="AE926" s="22"/>
    </row>
    <row r="927">
      <c r="A927" s="22"/>
      <c r="B927" s="22" t="str">
        <f>IF(ISBLANK(A927),"",VLOOKUP(A927,DOI_URL!$B$1:$C$74,2,FALSE()))</f>
        <v/>
      </c>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c r="AA927" s="22"/>
      <c r="AB927" s="22"/>
      <c r="AC927" s="22"/>
      <c r="AD927" s="22"/>
      <c r="AE927" s="22"/>
    </row>
    <row r="928">
      <c r="A928" s="22"/>
      <c r="B928" s="22" t="str">
        <f>IF(ISBLANK(A928),"",VLOOKUP(A928,DOI_URL!$B$1:$C$74,2,FALSE()))</f>
        <v/>
      </c>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c r="AA928" s="22"/>
      <c r="AB928" s="22"/>
      <c r="AC928" s="22"/>
      <c r="AD928" s="22"/>
      <c r="AE928" s="22"/>
    </row>
    <row r="929">
      <c r="A929" s="22"/>
      <c r="B929" s="22" t="str">
        <f>IF(ISBLANK(A929),"",VLOOKUP(A929,DOI_URL!$B$1:$C$74,2,FALSE()))</f>
        <v/>
      </c>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c r="AA929" s="22"/>
      <c r="AB929" s="22"/>
      <c r="AC929" s="22"/>
      <c r="AD929" s="22"/>
      <c r="AE929" s="22"/>
    </row>
    <row r="930">
      <c r="A930" s="22"/>
      <c r="B930" s="22" t="str">
        <f>IF(ISBLANK(A930),"",VLOOKUP(A930,DOI_URL!$B$1:$C$74,2,FALSE()))</f>
        <v/>
      </c>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c r="AA930" s="22"/>
      <c r="AB930" s="22"/>
      <c r="AC930" s="22"/>
      <c r="AD930" s="22"/>
      <c r="AE930" s="22"/>
    </row>
    <row r="931">
      <c r="A931" s="22"/>
      <c r="B931" s="22" t="str">
        <f>IF(ISBLANK(A931),"",VLOOKUP(A931,DOI_URL!$B$1:$C$74,2,FALSE()))</f>
        <v/>
      </c>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c r="AA931" s="22"/>
      <c r="AB931" s="22"/>
      <c r="AC931" s="22"/>
      <c r="AD931" s="22"/>
      <c r="AE931" s="22"/>
    </row>
    <row r="932">
      <c r="A932" s="22"/>
      <c r="B932" s="22" t="str">
        <f>IF(ISBLANK(A932),"",VLOOKUP(A932,DOI_URL!$B$1:$C$74,2,FALSE()))</f>
        <v/>
      </c>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c r="AA932" s="22"/>
      <c r="AB932" s="22"/>
      <c r="AC932" s="22"/>
      <c r="AD932" s="22"/>
      <c r="AE932" s="22"/>
    </row>
    <row r="933">
      <c r="A933" s="22"/>
      <c r="B933" s="22" t="str">
        <f>IF(ISBLANK(A933),"",VLOOKUP(A933,DOI_URL!$B$1:$C$74,2,FALSE()))</f>
        <v/>
      </c>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c r="AA933" s="22"/>
      <c r="AB933" s="22"/>
      <c r="AC933" s="22"/>
      <c r="AD933" s="22"/>
      <c r="AE933" s="22"/>
    </row>
    <row r="934">
      <c r="A934" s="22"/>
      <c r="B934" s="22" t="str">
        <f>IF(ISBLANK(A934),"",VLOOKUP(A934,DOI_URL!$B$1:$C$74,2,FALSE()))</f>
        <v/>
      </c>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c r="AA934" s="22"/>
      <c r="AB934" s="22"/>
      <c r="AC934" s="22"/>
      <c r="AD934" s="22"/>
      <c r="AE934" s="22"/>
    </row>
    <row r="935">
      <c r="A935" s="22"/>
      <c r="B935" s="22" t="str">
        <f>IF(ISBLANK(A935),"",VLOOKUP(A935,DOI_URL!$B$1:$C$74,2,FALSE()))</f>
        <v/>
      </c>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c r="AA935" s="22"/>
      <c r="AB935" s="22"/>
      <c r="AC935" s="22"/>
      <c r="AD935" s="22"/>
      <c r="AE935" s="22"/>
    </row>
    <row r="936">
      <c r="A936" s="22"/>
      <c r="B936" s="22" t="str">
        <f>IF(ISBLANK(A936),"",VLOOKUP(A936,DOI_URL!$B$1:$C$74,2,FALSE()))</f>
        <v/>
      </c>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c r="AA936" s="22"/>
      <c r="AB936" s="22"/>
      <c r="AC936" s="22"/>
      <c r="AD936" s="22"/>
      <c r="AE936" s="22"/>
    </row>
    <row r="937">
      <c r="A937" s="22"/>
      <c r="B937" s="22" t="str">
        <f>IF(ISBLANK(A937),"",VLOOKUP(A937,DOI_URL!$B$1:$C$74,2,FALSE()))</f>
        <v/>
      </c>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c r="AA937" s="22"/>
      <c r="AB937" s="22"/>
      <c r="AC937" s="22"/>
      <c r="AD937" s="22"/>
      <c r="AE937" s="22"/>
    </row>
    <row r="938">
      <c r="A938" s="22"/>
      <c r="B938" s="22" t="str">
        <f>IF(ISBLANK(A938),"",VLOOKUP(A938,DOI_URL!$B$1:$C$74,2,FALSE()))</f>
        <v/>
      </c>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c r="AA938" s="22"/>
      <c r="AB938" s="22"/>
      <c r="AC938" s="22"/>
      <c r="AD938" s="22"/>
      <c r="AE938" s="22"/>
    </row>
    <row r="939">
      <c r="A939" s="22"/>
      <c r="B939" s="22" t="str">
        <f>IF(ISBLANK(A939),"",VLOOKUP(A939,DOI_URL!$B$1:$C$74,2,FALSE()))</f>
        <v/>
      </c>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c r="AA939" s="22"/>
      <c r="AB939" s="22"/>
      <c r="AC939" s="22"/>
      <c r="AD939" s="22"/>
      <c r="AE939" s="22"/>
    </row>
    <row r="940">
      <c r="A940" s="22"/>
      <c r="B940" s="22" t="str">
        <f>IF(ISBLANK(A940),"",VLOOKUP(A940,DOI_URL!$B$1:$C$74,2,FALSE()))</f>
        <v/>
      </c>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c r="AA940" s="22"/>
      <c r="AB940" s="22"/>
      <c r="AC940" s="22"/>
      <c r="AD940" s="22"/>
      <c r="AE940" s="22"/>
    </row>
    <row r="941">
      <c r="A941" s="22"/>
      <c r="B941" s="22" t="str">
        <f>IF(ISBLANK(A941),"",VLOOKUP(A941,DOI_URL!$B$1:$C$74,2,FALSE()))</f>
        <v/>
      </c>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c r="AA941" s="22"/>
      <c r="AB941" s="22"/>
      <c r="AC941" s="22"/>
      <c r="AD941" s="22"/>
      <c r="AE941" s="22"/>
    </row>
    <row r="942">
      <c r="A942" s="22"/>
      <c r="B942" s="22" t="str">
        <f>IF(ISBLANK(A942),"",VLOOKUP(A942,DOI_URL!$B$1:$C$74,2,FALSE()))</f>
        <v/>
      </c>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c r="AA942" s="22"/>
      <c r="AB942" s="22"/>
      <c r="AC942" s="22"/>
      <c r="AD942" s="22"/>
      <c r="AE942" s="22"/>
    </row>
    <row r="943">
      <c r="A943" s="22"/>
      <c r="B943" s="22" t="str">
        <f>IF(ISBLANK(A943),"",VLOOKUP(A943,DOI_URL!$B$1:$C$74,2,FALSE()))</f>
        <v/>
      </c>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c r="AA943" s="22"/>
      <c r="AB943" s="22"/>
      <c r="AC943" s="22"/>
      <c r="AD943" s="22"/>
      <c r="AE943" s="22"/>
    </row>
    <row r="944">
      <c r="A944" s="22"/>
      <c r="B944" s="22" t="str">
        <f>IF(ISBLANK(A944),"",VLOOKUP(A944,DOI_URL!$B$1:$C$74,2,FALSE()))</f>
        <v/>
      </c>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c r="AA944" s="22"/>
      <c r="AB944" s="22"/>
      <c r="AC944" s="22"/>
      <c r="AD944" s="22"/>
      <c r="AE944" s="22"/>
    </row>
    <row r="945">
      <c r="A945" s="22"/>
      <c r="B945" s="22" t="str">
        <f>IF(ISBLANK(A945),"",VLOOKUP(A945,DOI_URL!$B$1:$C$74,2,FALSE()))</f>
        <v/>
      </c>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c r="AA945" s="22"/>
      <c r="AB945" s="22"/>
      <c r="AC945" s="22"/>
      <c r="AD945" s="22"/>
      <c r="AE945" s="22"/>
    </row>
    <row r="946">
      <c r="A946" s="22"/>
      <c r="B946" s="22" t="str">
        <f>IF(ISBLANK(A946),"",VLOOKUP(A946,DOI_URL!$B$1:$C$74,2,FALSE()))</f>
        <v/>
      </c>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c r="AA946" s="22"/>
      <c r="AB946" s="22"/>
      <c r="AC946" s="22"/>
      <c r="AD946" s="22"/>
      <c r="AE946" s="22"/>
    </row>
    <row r="947">
      <c r="A947" s="22"/>
      <c r="B947" s="22" t="str">
        <f>IF(ISBLANK(A947),"",VLOOKUP(A947,DOI_URL!$B$1:$C$74,2,FALSE()))</f>
        <v/>
      </c>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c r="AA947" s="22"/>
      <c r="AB947" s="22"/>
      <c r="AC947" s="22"/>
      <c r="AD947" s="22"/>
      <c r="AE947" s="22"/>
    </row>
    <row r="948">
      <c r="A948" s="22"/>
      <c r="B948" s="22" t="str">
        <f>IF(ISBLANK(A948),"",VLOOKUP(A948,DOI_URL!$B$1:$C$74,2,FALSE()))</f>
        <v/>
      </c>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c r="AA948" s="22"/>
      <c r="AB948" s="22"/>
      <c r="AC948" s="22"/>
      <c r="AD948" s="22"/>
      <c r="AE948" s="22"/>
    </row>
    <row r="949">
      <c r="A949" s="22"/>
      <c r="B949" s="22" t="str">
        <f>IF(ISBLANK(A949),"",VLOOKUP(A949,DOI_URL!$B$1:$C$74,2,FALSE()))</f>
        <v/>
      </c>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c r="AA949" s="22"/>
      <c r="AB949" s="22"/>
      <c r="AC949" s="22"/>
      <c r="AD949" s="22"/>
      <c r="AE949" s="22"/>
    </row>
    <row r="950">
      <c r="A950" s="22"/>
      <c r="B950" s="22" t="str">
        <f>IF(ISBLANK(A950),"",VLOOKUP(A950,DOI_URL!$B$1:$C$74,2,FALSE()))</f>
        <v/>
      </c>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c r="AA950" s="22"/>
      <c r="AB950" s="22"/>
      <c r="AC950" s="22"/>
      <c r="AD950" s="22"/>
      <c r="AE950" s="22"/>
    </row>
    <row r="951">
      <c r="A951" s="22"/>
      <c r="B951" s="22" t="str">
        <f>IF(ISBLANK(A951),"",VLOOKUP(A951,DOI_URL!$B$1:$C$74,2,FALSE()))</f>
        <v/>
      </c>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c r="AA951" s="22"/>
      <c r="AB951" s="22"/>
      <c r="AC951" s="22"/>
      <c r="AD951" s="22"/>
      <c r="AE951" s="22"/>
    </row>
    <row r="952">
      <c r="A952" s="22"/>
      <c r="B952" s="22" t="str">
        <f>IF(ISBLANK(A952),"",VLOOKUP(A952,DOI_URL!$B$1:$C$74,2,FALSE()))</f>
        <v/>
      </c>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c r="AA952" s="22"/>
      <c r="AB952" s="22"/>
      <c r="AC952" s="22"/>
      <c r="AD952" s="22"/>
      <c r="AE952" s="22"/>
    </row>
    <row r="953">
      <c r="A953" s="22"/>
      <c r="B953" s="22" t="str">
        <f>IF(ISBLANK(A953),"",VLOOKUP(A953,DOI_URL!$B$1:$C$74,2,FALSE()))</f>
        <v/>
      </c>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c r="AA953" s="22"/>
      <c r="AB953" s="22"/>
      <c r="AC953" s="22"/>
      <c r="AD953" s="22"/>
      <c r="AE953" s="22"/>
    </row>
    <row r="954">
      <c r="A954" s="22"/>
      <c r="B954" s="22" t="str">
        <f>IF(ISBLANK(A954),"",VLOOKUP(A954,DOI_URL!$B$1:$C$74,2,FALSE()))</f>
        <v/>
      </c>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c r="AA954" s="22"/>
      <c r="AB954" s="22"/>
      <c r="AC954" s="22"/>
      <c r="AD954" s="22"/>
      <c r="AE954" s="22"/>
    </row>
    <row r="955">
      <c r="A955" s="22"/>
      <c r="B955" s="22" t="str">
        <f>IF(ISBLANK(A955),"",VLOOKUP(A955,DOI_URL!$B$1:$C$74,2,FALSE()))</f>
        <v/>
      </c>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c r="AA955" s="22"/>
      <c r="AB955" s="22"/>
      <c r="AC955" s="22"/>
      <c r="AD955" s="22"/>
      <c r="AE955" s="22"/>
    </row>
    <row r="956">
      <c r="A956" s="22"/>
      <c r="B956" s="22" t="str">
        <f>IF(ISBLANK(A956),"",VLOOKUP(A956,DOI_URL!$B$1:$C$74,2,FALSE()))</f>
        <v/>
      </c>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c r="AA956" s="22"/>
      <c r="AB956" s="22"/>
      <c r="AC956" s="22"/>
      <c r="AD956" s="22"/>
      <c r="AE956" s="22"/>
    </row>
    <row r="957">
      <c r="A957" s="22"/>
      <c r="B957" s="22" t="str">
        <f>IF(ISBLANK(A957),"",VLOOKUP(A957,DOI_URL!$B$1:$C$74,2,FALSE()))</f>
        <v/>
      </c>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c r="AA957" s="22"/>
      <c r="AB957" s="22"/>
      <c r="AC957" s="22"/>
      <c r="AD957" s="22"/>
      <c r="AE957" s="22"/>
    </row>
    <row r="958">
      <c r="A958" s="22"/>
      <c r="B958" s="22" t="str">
        <f>IF(ISBLANK(A958),"",VLOOKUP(A958,DOI_URL!$B$1:$C$74,2,FALSE()))</f>
        <v/>
      </c>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c r="AA958" s="22"/>
      <c r="AB958" s="22"/>
      <c r="AC958" s="22"/>
      <c r="AD958" s="22"/>
      <c r="AE958" s="22"/>
    </row>
    <row r="959">
      <c r="A959" s="22"/>
      <c r="B959" s="22" t="str">
        <f>IF(ISBLANK(A959),"",VLOOKUP(A959,DOI_URL!$B$1:$C$74,2,FALSE()))</f>
        <v/>
      </c>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c r="AA959" s="22"/>
      <c r="AB959" s="22"/>
      <c r="AC959" s="22"/>
      <c r="AD959" s="22"/>
      <c r="AE959" s="22"/>
    </row>
    <row r="960">
      <c r="A960" s="22"/>
      <c r="B960" s="22" t="str">
        <f>IF(ISBLANK(A960),"",VLOOKUP(A960,DOI_URL!$B$1:$C$74,2,FALSE()))</f>
        <v/>
      </c>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c r="AA960" s="22"/>
      <c r="AB960" s="22"/>
      <c r="AC960" s="22"/>
      <c r="AD960" s="22"/>
      <c r="AE960" s="22"/>
    </row>
    <row r="961">
      <c r="A961" s="22"/>
      <c r="B961" s="22" t="str">
        <f>IF(ISBLANK(A961),"",VLOOKUP(A961,DOI_URL!$B$1:$C$74,2,FALSE()))</f>
        <v/>
      </c>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c r="AA961" s="22"/>
      <c r="AB961" s="22"/>
      <c r="AC961" s="22"/>
      <c r="AD961" s="22"/>
      <c r="AE961" s="22"/>
    </row>
    <row r="962">
      <c r="A962" s="22"/>
      <c r="B962" s="22" t="str">
        <f>IF(ISBLANK(A962),"",VLOOKUP(A962,DOI_URL!$B$1:$C$74,2,FALSE()))</f>
        <v/>
      </c>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c r="AA962" s="22"/>
      <c r="AB962" s="22"/>
      <c r="AC962" s="22"/>
      <c r="AD962" s="22"/>
      <c r="AE962" s="22"/>
    </row>
    <row r="963">
      <c r="A963" s="22"/>
      <c r="B963" s="22" t="str">
        <f>IF(ISBLANK(A963),"",VLOOKUP(A963,DOI_URL!$B$1:$C$74,2,FALSE()))</f>
        <v/>
      </c>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c r="AA963" s="22"/>
      <c r="AB963" s="22"/>
      <c r="AC963" s="22"/>
      <c r="AD963" s="22"/>
      <c r="AE963" s="22"/>
    </row>
    <row r="964">
      <c r="A964" s="22"/>
      <c r="B964" s="22" t="str">
        <f>IF(ISBLANK(A964),"",VLOOKUP(A964,DOI_URL!$B$1:$C$74,2,FALSE()))</f>
        <v/>
      </c>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c r="AA964" s="22"/>
      <c r="AB964" s="22"/>
      <c r="AC964" s="22"/>
      <c r="AD964" s="22"/>
      <c r="AE964" s="22"/>
    </row>
    <row r="965">
      <c r="A965" s="22"/>
      <c r="B965" s="22" t="str">
        <f>IF(ISBLANK(A965),"",VLOOKUP(A965,DOI_URL!$B$1:$C$74,2,FALSE()))</f>
        <v/>
      </c>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c r="AA965" s="22"/>
      <c r="AB965" s="22"/>
      <c r="AC965" s="22"/>
      <c r="AD965" s="22"/>
      <c r="AE965" s="22"/>
    </row>
    <row r="966">
      <c r="A966" s="22"/>
      <c r="B966" s="22" t="str">
        <f>IF(ISBLANK(A966),"",VLOOKUP(A966,DOI_URL!$B$1:$C$74,2,FALSE()))</f>
        <v/>
      </c>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c r="AA966" s="22"/>
      <c r="AB966" s="22"/>
      <c r="AC966" s="22"/>
      <c r="AD966" s="22"/>
      <c r="AE966" s="22"/>
    </row>
    <row r="967">
      <c r="A967" s="22"/>
      <c r="B967" s="22" t="str">
        <f>IF(ISBLANK(A967),"",VLOOKUP(A967,DOI_URL!$B$1:$C$74,2,FALSE()))</f>
        <v/>
      </c>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c r="AA967" s="22"/>
      <c r="AB967" s="22"/>
      <c r="AC967" s="22"/>
      <c r="AD967" s="22"/>
      <c r="AE967" s="22"/>
    </row>
    <row r="968">
      <c r="A968" s="22"/>
      <c r="B968" s="22" t="str">
        <f>IF(ISBLANK(A968),"",VLOOKUP(A968,DOI_URL!$B$1:$C$74,2,FALSE()))</f>
        <v/>
      </c>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c r="AA968" s="22"/>
      <c r="AB968" s="22"/>
      <c r="AC968" s="22"/>
      <c r="AD968" s="22"/>
      <c r="AE968" s="22"/>
    </row>
    <row r="969">
      <c r="A969" s="22"/>
      <c r="B969" s="22" t="str">
        <f>IF(ISBLANK(A969),"",VLOOKUP(A969,DOI_URL!$B$1:$C$74,2,FALSE()))</f>
        <v/>
      </c>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c r="AA969" s="22"/>
      <c r="AB969" s="22"/>
      <c r="AC969" s="22"/>
      <c r="AD969" s="22"/>
      <c r="AE969" s="22"/>
    </row>
    <row r="970">
      <c r="A970" s="22"/>
      <c r="B970" s="22" t="str">
        <f>IF(ISBLANK(A970),"",VLOOKUP(A970,DOI_URL!$B$1:$C$74,2,FALSE()))</f>
        <v/>
      </c>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c r="AA970" s="22"/>
      <c r="AB970" s="22"/>
      <c r="AC970" s="22"/>
      <c r="AD970" s="22"/>
      <c r="AE970" s="22"/>
    </row>
    <row r="971">
      <c r="A971" s="22"/>
      <c r="B971" s="22" t="str">
        <f>IF(ISBLANK(A971),"",VLOOKUP(A971,DOI_URL!$B$1:$C$74,2,FALSE()))</f>
        <v/>
      </c>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c r="AA971" s="22"/>
      <c r="AB971" s="22"/>
      <c r="AC971" s="22"/>
      <c r="AD971" s="22"/>
      <c r="AE971" s="22"/>
    </row>
    <row r="972">
      <c r="A972" s="22"/>
      <c r="B972" s="22" t="str">
        <f>IF(ISBLANK(A972),"",VLOOKUP(A972,DOI_URL!$B$1:$C$74,2,FALSE()))</f>
        <v/>
      </c>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c r="AA972" s="22"/>
      <c r="AB972" s="22"/>
      <c r="AC972" s="22"/>
      <c r="AD972" s="22"/>
      <c r="AE972" s="22"/>
    </row>
    <row r="973">
      <c r="A973" s="22"/>
      <c r="B973" s="22" t="str">
        <f>IF(ISBLANK(A973),"",VLOOKUP(A973,DOI_URL!$B$1:$C$74,2,FALSE()))</f>
        <v/>
      </c>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c r="AA973" s="22"/>
      <c r="AB973" s="22"/>
      <c r="AC973" s="22"/>
      <c r="AD973" s="22"/>
      <c r="AE973" s="22"/>
    </row>
    <row r="974">
      <c r="A974" s="22"/>
      <c r="B974" s="22" t="str">
        <f>IF(ISBLANK(A974),"",VLOOKUP(A974,DOI_URL!$B$1:$C$74,2,FALSE()))</f>
        <v/>
      </c>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c r="AA974" s="22"/>
      <c r="AB974" s="22"/>
      <c r="AC974" s="22"/>
      <c r="AD974" s="22"/>
      <c r="AE974" s="22"/>
    </row>
    <row r="975">
      <c r="A975" s="22"/>
      <c r="B975" s="22" t="str">
        <f>IF(ISBLANK(A975),"",VLOOKUP(A975,DOI_URL!$B$1:$C$74,2,FALSE()))</f>
        <v/>
      </c>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c r="AA975" s="22"/>
      <c r="AB975" s="22"/>
      <c r="AC975" s="22"/>
      <c r="AD975" s="22"/>
      <c r="AE975" s="22"/>
    </row>
    <row r="976">
      <c r="A976" s="22"/>
      <c r="B976" s="22" t="str">
        <f>IF(ISBLANK(A976),"",VLOOKUP(A976,DOI_URL!$B$1:$C$74,2,FALSE()))</f>
        <v/>
      </c>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c r="AA976" s="22"/>
      <c r="AB976" s="22"/>
      <c r="AC976" s="22"/>
      <c r="AD976" s="22"/>
      <c r="AE976" s="22"/>
    </row>
    <row r="977">
      <c r="A977" s="22"/>
      <c r="B977" s="22" t="str">
        <f>IF(ISBLANK(A977),"",VLOOKUP(A977,DOI_URL!$B$1:$C$74,2,FALSE()))</f>
        <v/>
      </c>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c r="AA977" s="22"/>
      <c r="AB977" s="22"/>
      <c r="AC977" s="22"/>
      <c r="AD977" s="22"/>
      <c r="AE977" s="22"/>
    </row>
    <row r="978">
      <c r="A978" s="22"/>
      <c r="B978" s="22" t="str">
        <f>IF(ISBLANK(A978),"",VLOOKUP(A978,DOI_URL!$B$1:$C$74,2,FALSE()))</f>
        <v/>
      </c>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c r="AA978" s="22"/>
      <c r="AB978" s="22"/>
      <c r="AC978" s="22"/>
      <c r="AD978" s="22"/>
      <c r="AE978" s="22"/>
    </row>
    <row r="979">
      <c r="A979" s="22"/>
      <c r="B979" s="22" t="str">
        <f>IF(ISBLANK(A979),"",VLOOKUP(A979,DOI_URL!$B$1:$C$74,2,FALSE()))</f>
        <v/>
      </c>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c r="AA979" s="22"/>
      <c r="AB979" s="22"/>
      <c r="AC979" s="22"/>
      <c r="AD979" s="22"/>
      <c r="AE979" s="22"/>
    </row>
    <row r="980">
      <c r="A980" s="22"/>
      <c r="B980" s="22" t="str">
        <f>IF(ISBLANK(A980),"",VLOOKUP(A980,DOI_URL!$B$1:$C$74,2,FALSE()))</f>
        <v/>
      </c>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c r="AA980" s="22"/>
      <c r="AB980" s="22"/>
      <c r="AC980" s="22"/>
      <c r="AD980" s="22"/>
      <c r="AE980" s="22"/>
    </row>
    <row r="981">
      <c r="A981" s="22"/>
      <c r="B981" s="22" t="str">
        <f>IF(ISBLANK(A981),"",VLOOKUP(A981,DOI_URL!$B$1:$C$74,2,FALSE()))</f>
        <v/>
      </c>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c r="AA981" s="22"/>
      <c r="AB981" s="22"/>
      <c r="AC981" s="22"/>
      <c r="AD981" s="22"/>
      <c r="AE981" s="22"/>
    </row>
    <row r="982">
      <c r="A982" s="22"/>
      <c r="B982" s="22" t="str">
        <f>IF(ISBLANK(A982),"",VLOOKUP(A982,DOI_URL!$B$1:$C$74,2,FALSE()))</f>
        <v/>
      </c>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c r="AA982" s="22"/>
      <c r="AB982" s="22"/>
      <c r="AC982" s="22"/>
      <c r="AD982" s="22"/>
      <c r="AE982" s="22"/>
    </row>
    <row r="983">
      <c r="A983" s="22"/>
      <c r="B983" s="22" t="str">
        <f>IF(ISBLANK(A983),"",VLOOKUP(A983,DOI_URL!$B$1:$C$74,2,FALSE()))</f>
        <v/>
      </c>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c r="AA983" s="22"/>
      <c r="AB983" s="22"/>
      <c r="AC983" s="22"/>
      <c r="AD983" s="22"/>
      <c r="AE983" s="22"/>
    </row>
    <row r="984">
      <c r="A984" s="22"/>
      <c r="B984" s="22" t="str">
        <f>IF(ISBLANK(A984),"",VLOOKUP(A984,DOI_URL!$B$1:$C$74,2,FALSE()))</f>
        <v/>
      </c>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c r="AA984" s="22"/>
      <c r="AB984" s="22"/>
      <c r="AC984" s="22"/>
      <c r="AD984" s="22"/>
      <c r="AE984" s="22"/>
    </row>
    <row r="985">
      <c r="A985" s="22"/>
      <c r="B985" s="22" t="str">
        <f>IF(ISBLANK(A985),"",VLOOKUP(A985,DOI_URL!$B$1:$C$74,2,FALSE()))</f>
        <v/>
      </c>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c r="AA985" s="22"/>
      <c r="AB985" s="22"/>
      <c r="AC985" s="22"/>
      <c r="AD985" s="22"/>
      <c r="AE985" s="22"/>
    </row>
    <row r="986">
      <c r="A986" s="22"/>
      <c r="B986" s="22" t="str">
        <f>IF(ISBLANK(A986),"",VLOOKUP(A986,DOI_URL!$B$1:$C$74,2,FALSE()))</f>
        <v/>
      </c>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c r="AA986" s="22"/>
      <c r="AB986" s="22"/>
      <c r="AC986" s="22"/>
      <c r="AD986" s="22"/>
      <c r="AE986" s="22"/>
    </row>
    <row r="987">
      <c r="A987" s="22"/>
      <c r="B987" s="22" t="str">
        <f>IF(ISBLANK(A987),"",VLOOKUP(A987,DOI_URL!$B$1:$C$74,2,FALSE()))</f>
        <v/>
      </c>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c r="AA987" s="22"/>
      <c r="AB987" s="22"/>
      <c r="AC987" s="22"/>
      <c r="AD987" s="22"/>
      <c r="AE987" s="22"/>
    </row>
    <row r="988">
      <c r="A988" s="22"/>
      <c r="B988" s="22" t="str">
        <f>IF(ISBLANK(A988),"",VLOOKUP(A988,DOI_URL!$B$1:$C$74,2,FALSE()))</f>
        <v/>
      </c>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c r="AA988" s="22"/>
      <c r="AB988" s="22"/>
      <c r="AC988" s="22"/>
      <c r="AD988" s="22"/>
      <c r="AE988" s="22"/>
    </row>
    <row r="989">
      <c r="A989" s="22"/>
      <c r="B989" s="22" t="str">
        <f>IF(ISBLANK(A989),"",VLOOKUP(A989,DOI_URL!$B$1:$C$74,2,FALSE()))</f>
        <v/>
      </c>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c r="AA989" s="22"/>
      <c r="AB989" s="22"/>
      <c r="AC989" s="22"/>
      <c r="AD989" s="22"/>
      <c r="AE989" s="22"/>
    </row>
    <row r="990">
      <c r="A990" s="22"/>
      <c r="B990" s="22" t="str">
        <f>IF(ISBLANK(A990),"",VLOOKUP(A990,DOI_URL!$B$1:$C$74,2,FALSE()))</f>
        <v/>
      </c>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c r="AA990" s="22"/>
      <c r="AB990" s="22"/>
      <c r="AC990" s="22"/>
      <c r="AD990" s="22"/>
      <c r="AE990" s="22"/>
    </row>
    <row r="991">
      <c r="A991" s="22"/>
      <c r="B991" s="22" t="str">
        <f>IF(ISBLANK(A991),"",VLOOKUP(A991,DOI_URL!$B$1:$C$74,2,FALSE()))</f>
        <v/>
      </c>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c r="AA991" s="22"/>
      <c r="AB991" s="22"/>
      <c r="AC991" s="22"/>
      <c r="AD991" s="22"/>
      <c r="AE991" s="22"/>
    </row>
    <row r="992">
      <c r="A992" s="22"/>
      <c r="B992" s="22" t="str">
        <f>IF(ISBLANK(A992),"",VLOOKUP(A992,DOI_URL!$B$1:$C$74,2,FALSE()))</f>
        <v/>
      </c>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c r="AA992" s="22"/>
      <c r="AB992" s="22"/>
      <c r="AC992" s="22"/>
      <c r="AD992" s="22"/>
      <c r="AE992" s="22"/>
    </row>
    <row r="993">
      <c r="A993" s="22"/>
      <c r="B993" s="22" t="str">
        <f>IF(ISBLANK(A993),"",VLOOKUP(A993,DOI_URL!$B$1:$C$74,2,FALSE()))</f>
        <v/>
      </c>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c r="AA993" s="22"/>
      <c r="AB993" s="22"/>
      <c r="AC993" s="22"/>
      <c r="AD993" s="22"/>
      <c r="AE993" s="22"/>
    </row>
    <row r="994">
      <c r="A994" s="22"/>
      <c r="B994" s="22" t="str">
        <f>IF(ISBLANK(A994),"",VLOOKUP(A994,DOI_URL!$B$1:$C$74,2,FALSE()))</f>
        <v/>
      </c>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c r="AA994" s="22"/>
      <c r="AB994" s="22"/>
      <c r="AC994" s="22"/>
      <c r="AD994" s="22"/>
      <c r="AE994" s="22"/>
    </row>
    <row r="995">
      <c r="A995" s="22"/>
      <c r="B995" s="22" t="str">
        <f>IF(ISBLANK(A995),"",VLOOKUP(A995,DOI_URL!$B$1:$C$74,2,FALSE()))</f>
        <v/>
      </c>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c r="AA995" s="22"/>
      <c r="AB995" s="22"/>
      <c r="AC995" s="22"/>
      <c r="AD995" s="22"/>
      <c r="AE995" s="22"/>
    </row>
    <row r="996">
      <c r="A996" s="22"/>
      <c r="B996" s="22" t="str">
        <f>IF(ISBLANK(A996),"",VLOOKUP(A996,DOI_URL!$B$1:$C$74,2,FALSE()))</f>
        <v/>
      </c>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c r="AA996" s="22"/>
      <c r="AB996" s="22"/>
      <c r="AC996" s="22"/>
      <c r="AD996" s="22"/>
      <c r="AE996" s="22"/>
    </row>
    <row r="997">
      <c r="A997" s="22"/>
      <c r="B997" s="22" t="str">
        <f>IF(ISBLANK(A997),"",VLOOKUP(A997,DOI_URL!$B$1:$C$74,2,FALSE()))</f>
        <v/>
      </c>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c r="AA997" s="22"/>
      <c r="AB997" s="22"/>
      <c r="AC997" s="22"/>
      <c r="AD997" s="22"/>
      <c r="AE997" s="22"/>
    </row>
    <row r="998">
      <c r="A998" s="22"/>
      <c r="B998" s="22" t="str">
        <f>IF(ISBLANK(A998),"",VLOOKUP(A998,DOI_URL!$B$1:$C$74,2,FALSE()))</f>
        <v/>
      </c>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c r="AA998" s="22"/>
      <c r="AB998" s="22"/>
      <c r="AC998" s="22"/>
      <c r="AD998" s="22"/>
      <c r="AE998" s="22"/>
    </row>
    <row r="999">
      <c r="A999" s="22"/>
      <c r="B999" s="22" t="str">
        <f>IF(ISBLANK(A999),"",VLOOKUP(A999,DOI_URL!$B$1:$C$74,2,FALSE()))</f>
        <v/>
      </c>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c r="AA999" s="22"/>
      <c r="AB999" s="22"/>
      <c r="AC999" s="22"/>
      <c r="AD999" s="22"/>
      <c r="AE999" s="22"/>
    </row>
    <row r="1000">
      <c r="A1000" s="22"/>
      <c r="B1000" s="22" t="str">
        <f>IF(ISBLANK(A1000),"",VLOOKUP(A1000,DOI_URL!$B$1:$C$74,2,FALSE()))</f>
        <v/>
      </c>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c r="AA1000" s="22"/>
      <c r="AB1000" s="22"/>
      <c r="AC1000" s="22"/>
      <c r="AD1000" s="22"/>
      <c r="AE1000" s="22"/>
    </row>
    <row r="1001">
      <c r="A1001" s="22"/>
      <c r="B1001" s="22" t="str">
        <f>IF(ISBLANK(A1001),"",VLOOKUP(A1001,DOI_URL!$B$1:$C$74,2,FALSE()))</f>
        <v/>
      </c>
      <c r="C1001" s="22"/>
      <c r="D1001" s="22"/>
      <c r="E1001" s="22"/>
      <c r="F1001" s="22"/>
      <c r="G1001" s="22"/>
      <c r="H1001" s="22"/>
      <c r="I1001" s="22"/>
      <c r="J1001" s="22"/>
      <c r="K1001" s="22"/>
      <c r="L1001" s="22"/>
      <c r="M1001" s="22"/>
      <c r="N1001" s="22"/>
      <c r="O1001" s="22"/>
      <c r="P1001" s="22"/>
      <c r="Q1001" s="22"/>
      <c r="R1001" s="22"/>
      <c r="S1001" s="22"/>
      <c r="T1001" s="22"/>
      <c r="U1001" s="22"/>
      <c r="V1001" s="22"/>
      <c r="W1001" s="22"/>
      <c r="X1001" s="22"/>
      <c r="Y1001" s="22"/>
      <c r="Z1001" s="22"/>
      <c r="AA1001" s="22"/>
      <c r="AB1001" s="22"/>
      <c r="AC1001" s="22"/>
      <c r="AD1001" s="22"/>
      <c r="AE1001" s="22"/>
    </row>
    <row r="1002">
      <c r="A1002" s="22"/>
      <c r="B1002" s="22" t="str">
        <f>IF(ISBLANK(A1002),"",VLOOKUP(A1002,DOI_URL!$B$1:$C$74,2,FALSE()))</f>
        <v/>
      </c>
      <c r="C1002" s="22"/>
      <c r="D1002" s="22"/>
      <c r="E1002" s="22"/>
      <c r="F1002" s="22"/>
      <c r="G1002" s="22"/>
      <c r="H1002" s="22"/>
      <c r="I1002" s="22"/>
      <c r="J1002" s="22"/>
      <c r="K1002" s="22"/>
      <c r="L1002" s="22"/>
      <c r="M1002" s="22"/>
      <c r="N1002" s="22"/>
      <c r="O1002" s="22"/>
      <c r="P1002" s="22"/>
      <c r="Q1002" s="22"/>
      <c r="R1002" s="22"/>
      <c r="S1002" s="22"/>
      <c r="T1002" s="22"/>
      <c r="U1002" s="22"/>
      <c r="V1002" s="22"/>
      <c r="W1002" s="22"/>
      <c r="X1002" s="22"/>
      <c r="Y1002" s="22"/>
      <c r="Z1002" s="22"/>
      <c r="AA1002" s="22"/>
      <c r="AB1002" s="22"/>
      <c r="AC1002" s="22"/>
      <c r="AD1002" s="22"/>
      <c r="AE1002" s="22"/>
    </row>
    <row r="1003">
      <c r="A1003" s="22"/>
      <c r="B1003" s="22" t="str">
        <f>IF(ISBLANK(A1003),"",VLOOKUP(A1003,DOI_URL!$B$1:$C$74,2,FALSE()))</f>
        <v/>
      </c>
      <c r="C1003" s="22"/>
      <c r="D1003" s="22"/>
      <c r="E1003" s="22"/>
      <c r="F1003" s="22"/>
      <c r="G1003" s="22"/>
      <c r="H1003" s="22"/>
      <c r="I1003" s="22"/>
      <c r="J1003" s="22"/>
      <c r="K1003" s="22"/>
      <c r="L1003" s="22"/>
      <c r="M1003" s="22"/>
      <c r="N1003" s="22"/>
      <c r="O1003" s="22"/>
      <c r="P1003" s="22"/>
      <c r="Q1003" s="22"/>
      <c r="R1003" s="22"/>
      <c r="S1003" s="22"/>
      <c r="T1003" s="22"/>
      <c r="U1003" s="22"/>
      <c r="V1003" s="22"/>
      <c r="W1003" s="22"/>
      <c r="X1003" s="22"/>
      <c r="Y1003" s="22"/>
      <c r="Z1003" s="22"/>
      <c r="AA1003" s="22"/>
      <c r="AB1003" s="22"/>
      <c r="AC1003" s="22"/>
      <c r="AD1003" s="22"/>
      <c r="AE1003" s="22"/>
    </row>
    <row r="1004">
      <c r="A1004" s="22"/>
      <c r="B1004" s="22" t="str">
        <f>IF(ISBLANK(A1004),"",VLOOKUP(A1004,DOI_URL!$B$1:$C$74,2,FALSE()))</f>
        <v/>
      </c>
      <c r="C1004" s="22"/>
      <c r="D1004" s="22"/>
      <c r="E1004" s="22"/>
      <c r="F1004" s="22"/>
      <c r="G1004" s="22"/>
      <c r="H1004" s="22"/>
      <c r="I1004" s="22"/>
      <c r="J1004" s="22"/>
      <c r="K1004" s="22"/>
      <c r="L1004" s="22"/>
      <c r="M1004" s="22"/>
      <c r="N1004" s="22"/>
      <c r="O1004" s="22"/>
      <c r="P1004" s="22"/>
      <c r="Q1004" s="22"/>
      <c r="R1004" s="22"/>
      <c r="S1004" s="22"/>
      <c r="T1004" s="22"/>
      <c r="U1004" s="22"/>
      <c r="V1004" s="22"/>
      <c r="W1004" s="22"/>
      <c r="X1004" s="22"/>
      <c r="Y1004" s="22"/>
      <c r="Z1004" s="22"/>
      <c r="AA1004" s="22"/>
      <c r="AB1004" s="22"/>
      <c r="AC1004" s="22"/>
      <c r="AD1004" s="22"/>
      <c r="AE1004" s="22"/>
    </row>
    <row r="1005">
      <c r="A1005" s="22"/>
      <c r="B1005" s="22" t="str">
        <f>IF(ISBLANK(A1005),"",VLOOKUP(A1005,DOI_URL!$B$1:$C$74,2,FALSE()))</f>
        <v/>
      </c>
      <c r="C1005" s="22"/>
      <c r="D1005" s="22"/>
      <c r="E1005" s="22"/>
      <c r="F1005" s="22"/>
      <c r="G1005" s="22"/>
      <c r="H1005" s="22"/>
      <c r="I1005" s="22"/>
      <c r="J1005" s="22"/>
      <c r="K1005" s="22"/>
      <c r="L1005" s="22"/>
      <c r="M1005" s="22"/>
      <c r="N1005" s="22"/>
      <c r="O1005" s="22"/>
      <c r="P1005" s="22"/>
      <c r="Q1005" s="22"/>
      <c r="R1005" s="22"/>
      <c r="S1005" s="22"/>
      <c r="T1005" s="22"/>
      <c r="U1005" s="22"/>
      <c r="V1005" s="22"/>
      <c r="W1005" s="22"/>
      <c r="X1005" s="22"/>
      <c r="Y1005" s="22"/>
      <c r="Z1005" s="22"/>
      <c r="AA1005" s="22"/>
      <c r="AB1005" s="22"/>
      <c r="AC1005" s="22"/>
      <c r="AD1005" s="22"/>
      <c r="AE1005" s="22"/>
    </row>
    <row r="1006">
      <c r="A1006" s="22"/>
      <c r="B1006" s="22" t="str">
        <f>IF(ISBLANK(A1006),"",VLOOKUP(A1006,DOI_URL!$B$1:$C$74,2,FALSE()))</f>
        <v/>
      </c>
      <c r="C1006" s="22"/>
      <c r="D1006" s="22"/>
      <c r="E1006" s="22"/>
      <c r="F1006" s="22"/>
      <c r="G1006" s="22"/>
      <c r="H1006" s="22"/>
      <c r="I1006" s="22"/>
      <c r="J1006" s="22"/>
      <c r="K1006" s="22"/>
      <c r="L1006" s="22"/>
      <c r="M1006" s="22"/>
      <c r="N1006" s="22"/>
      <c r="O1006" s="22"/>
      <c r="P1006" s="22"/>
      <c r="Q1006" s="22"/>
      <c r="R1006" s="22"/>
      <c r="S1006" s="22"/>
      <c r="T1006" s="22"/>
      <c r="U1006" s="22"/>
      <c r="V1006" s="22"/>
      <c r="W1006" s="22"/>
      <c r="X1006" s="22"/>
      <c r="Y1006" s="22"/>
      <c r="Z1006" s="22"/>
      <c r="AA1006" s="22"/>
      <c r="AB1006" s="22"/>
      <c r="AC1006" s="22"/>
      <c r="AD1006" s="22"/>
      <c r="AE1006" s="22"/>
    </row>
    <row r="1007">
      <c r="A1007" s="22"/>
      <c r="B1007" s="22" t="str">
        <f>IF(ISBLANK(A1007),"",VLOOKUP(A1007,DOI_URL!$B$1:$C$74,2,FALSE()))</f>
        <v/>
      </c>
      <c r="C1007" s="22"/>
      <c r="D1007" s="22"/>
      <c r="E1007" s="22"/>
      <c r="F1007" s="22"/>
      <c r="G1007" s="22"/>
      <c r="H1007" s="22"/>
      <c r="I1007" s="22"/>
      <c r="J1007" s="22"/>
      <c r="K1007" s="22"/>
      <c r="L1007" s="22"/>
      <c r="M1007" s="22"/>
      <c r="N1007" s="22"/>
      <c r="O1007" s="22"/>
      <c r="P1007" s="22"/>
      <c r="Q1007" s="22"/>
      <c r="R1007" s="22"/>
      <c r="S1007" s="22"/>
      <c r="T1007" s="22"/>
      <c r="U1007" s="22"/>
      <c r="V1007" s="22"/>
      <c r="W1007" s="22"/>
      <c r="X1007" s="22"/>
      <c r="Y1007" s="22"/>
      <c r="Z1007" s="22"/>
      <c r="AA1007" s="22"/>
      <c r="AB1007" s="22"/>
      <c r="AC1007" s="22"/>
      <c r="AD1007" s="22"/>
      <c r="AE1007" s="22"/>
    </row>
    <row r="1008">
      <c r="A1008" s="22"/>
      <c r="B1008" s="22" t="str">
        <f>IF(ISBLANK(A1008),"",VLOOKUP(A1008,DOI_URL!$B$1:$C$74,2,FALSE()))</f>
        <v/>
      </c>
      <c r="C1008" s="22"/>
      <c r="D1008" s="22"/>
      <c r="E1008" s="22"/>
      <c r="F1008" s="22"/>
      <c r="G1008" s="22"/>
      <c r="H1008" s="22"/>
      <c r="I1008" s="22"/>
      <c r="J1008" s="22"/>
      <c r="K1008" s="22"/>
      <c r="L1008" s="22"/>
      <c r="M1008" s="22"/>
      <c r="N1008" s="22"/>
      <c r="O1008" s="22"/>
      <c r="P1008" s="22"/>
      <c r="Q1008" s="22"/>
      <c r="R1008" s="22"/>
      <c r="S1008" s="22"/>
      <c r="T1008" s="22"/>
      <c r="U1008" s="22"/>
      <c r="V1008" s="22"/>
      <c r="W1008" s="22"/>
      <c r="X1008" s="22"/>
      <c r="Y1008" s="22"/>
      <c r="Z1008" s="22"/>
      <c r="AA1008" s="22"/>
      <c r="AB1008" s="22"/>
      <c r="AC1008" s="22"/>
      <c r="AD1008" s="22"/>
      <c r="AE1008" s="22"/>
    </row>
    <row r="1009">
      <c r="A1009" s="22"/>
      <c r="B1009" s="22" t="str">
        <f>IF(ISBLANK(A1009),"",VLOOKUP(A1009,DOI_URL!$B$1:$C$74,2,FALSE()))</f>
        <v/>
      </c>
      <c r="C1009" s="22"/>
      <c r="D1009" s="22"/>
      <c r="E1009" s="22"/>
      <c r="F1009" s="22"/>
      <c r="G1009" s="22"/>
      <c r="H1009" s="22"/>
      <c r="I1009" s="22"/>
      <c r="J1009" s="22"/>
      <c r="K1009" s="22"/>
      <c r="L1009" s="22"/>
      <c r="M1009" s="22"/>
      <c r="N1009" s="22"/>
      <c r="O1009" s="22"/>
      <c r="P1009" s="22"/>
      <c r="Q1009" s="22"/>
      <c r="R1009" s="22"/>
      <c r="S1009" s="22"/>
      <c r="T1009" s="22"/>
      <c r="U1009" s="22"/>
      <c r="V1009" s="22"/>
      <c r="W1009" s="22"/>
      <c r="X1009" s="22"/>
      <c r="Y1009" s="22"/>
      <c r="Z1009" s="22"/>
      <c r="AA1009" s="22"/>
      <c r="AB1009" s="22"/>
      <c r="AC1009" s="22"/>
      <c r="AD1009" s="22"/>
      <c r="AE1009" s="22"/>
    </row>
    <row r="1010">
      <c r="A1010" s="22"/>
      <c r="B1010" s="22" t="str">
        <f>IF(ISBLANK(A1010),"",VLOOKUP(A1010,DOI_URL!$B$1:$C$74,2,FALSE()))</f>
        <v/>
      </c>
      <c r="C1010" s="22"/>
      <c r="D1010" s="22"/>
      <c r="E1010" s="22"/>
      <c r="F1010" s="22"/>
      <c r="G1010" s="22"/>
      <c r="H1010" s="22"/>
      <c r="I1010" s="22"/>
      <c r="J1010" s="22"/>
      <c r="K1010" s="22"/>
      <c r="L1010" s="22"/>
      <c r="M1010" s="22"/>
      <c r="N1010" s="22"/>
      <c r="O1010" s="22"/>
      <c r="P1010" s="22"/>
      <c r="Q1010" s="22"/>
      <c r="R1010" s="22"/>
      <c r="S1010" s="22"/>
      <c r="T1010" s="22"/>
      <c r="U1010" s="22"/>
      <c r="V1010" s="22"/>
      <c r="W1010" s="22"/>
      <c r="X1010" s="22"/>
      <c r="Y1010" s="22"/>
      <c r="Z1010" s="22"/>
      <c r="AA1010" s="22"/>
      <c r="AB1010" s="22"/>
      <c r="AC1010" s="22"/>
      <c r="AD1010" s="22"/>
      <c r="AE1010" s="22"/>
    </row>
    <row r="1011">
      <c r="A1011" s="22"/>
      <c r="B1011" s="22" t="str">
        <f>IF(ISBLANK(A1011),"",VLOOKUP(A1011,DOI_URL!$B$1:$C$74,2,FALSE()))</f>
        <v/>
      </c>
      <c r="C1011" s="22"/>
      <c r="D1011" s="22"/>
      <c r="E1011" s="22"/>
      <c r="F1011" s="22"/>
      <c r="G1011" s="22"/>
      <c r="H1011" s="22"/>
      <c r="I1011" s="22"/>
      <c r="J1011" s="22"/>
      <c r="K1011" s="22"/>
      <c r="L1011" s="22"/>
      <c r="M1011" s="22"/>
      <c r="N1011" s="22"/>
      <c r="O1011" s="22"/>
      <c r="P1011" s="22"/>
      <c r="Q1011" s="22"/>
      <c r="R1011" s="22"/>
      <c r="S1011" s="22"/>
      <c r="T1011" s="22"/>
      <c r="U1011" s="22"/>
      <c r="V1011" s="22"/>
      <c r="W1011" s="22"/>
      <c r="X1011" s="22"/>
      <c r="Y1011" s="22"/>
      <c r="Z1011" s="22"/>
      <c r="AA1011" s="22"/>
      <c r="AB1011" s="22"/>
      <c r="AC1011" s="22"/>
      <c r="AD1011" s="22"/>
      <c r="AE1011" s="22"/>
    </row>
  </sheetData>
  <dataValidations>
    <dataValidation type="list" allowBlank="1" sqref="A2:A1011">
      <formula1>Assignment!$AB$3:$AB$50</formula1>
    </dataValidation>
    <dataValidation type="list" allowBlank="1" showInputMessage="1" prompt="Haz clic e introduce un valor de intervalo 'General Taggs'!C2:C32" sqref="I2:I1011">
      <formula1>'General Tags'!$D$2:$D$32</formula1>
    </dataValidation>
    <dataValidation type="list" allowBlank="1" sqref="C2:C35 C36:D72 C73 C74:D101 C102:C152 C167:C1011">
      <formula1>'General Tags'!$B$2:$B$3</formula1>
    </dataValidation>
    <dataValidation type="list" allowBlank="1" sqref="D2:D35 D73 D102:D152 C153:D166 D167:D1011">
      <formula1>'General Tags'!$C$2:$C$3</formula1>
    </dataValidation>
    <dataValidation type="list" allowBlank="1" showInputMessage="1" showErrorMessage="1" prompt="Please, first add the SE task in the General tags page in column E" sqref="J2:J1011">
      <formula1>'General Tags'!$F$2:$F$295</formula1>
    </dataValidation>
  </dataValidation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38"/>
    <col hidden="1" min="4" max="8" width="12.63"/>
  </cols>
  <sheetData>
    <row r="1">
      <c r="B1" s="186" t="s">
        <v>850</v>
      </c>
      <c r="C1" s="187" t="s">
        <v>3691</v>
      </c>
      <c r="D1" s="8" t="str">
        <f>VLOOKUP(B1,Assignment!$B$3:$F$13,4,FALSE())</f>
        <v/>
      </c>
    </row>
    <row r="2">
      <c r="B2" s="1" t="s">
        <v>1862</v>
      </c>
      <c r="C2" s="188" t="s">
        <v>3692</v>
      </c>
    </row>
    <row r="3">
      <c r="B3" s="1" t="s">
        <v>1494</v>
      </c>
      <c r="C3" s="188" t="s">
        <v>3693</v>
      </c>
    </row>
    <row r="4">
      <c r="B4" s="1" t="s">
        <v>1154</v>
      </c>
      <c r="C4" s="188" t="s">
        <v>3694</v>
      </c>
      <c r="E4" s="8" t="str">
        <f>VLOOKUP(B4,Assignment!$G$3:$J$13,4,FALSE())</f>
        <v>TC</v>
      </c>
    </row>
    <row r="5">
      <c r="B5" s="1" t="s">
        <v>341</v>
      </c>
      <c r="C5" s="187" t="s">
        <v>3695</v>
      </c>
      <c r="F5" s="8" t="str">
        <f>VLOOKUP(B5,Assignment!$L$3:$N$13,4,FALSE())</f>
        <v>#REF!</v>
      </c>
    </row>
    <row r="6">
      <c r="B6" s="1" t="s">
        <v>1755</v>
      </c>
      <c r="C6" s="187" t="s">
        <v>3696</v>
      </c>
      <c r="G6" s="8" t="str">
        <f>VLOOKUP(B6,Assignment!$O$3:$R$13,4,FALSE())</f>
        <v>TE</v>
      </c>
    </row>
    <row r="7">
      <c r="B7" s="1" t="s">
        <v>598</v>
      </c>
      <c r="C7" s="187" t="s">
        <v>3697</v>
      </c>
    </row>
    <row r="8">
      <c r="B8" s="1" t="s">
        <v>8</v>
      </c>
      <c r="C8" s="188" t="s">
        <v>3698</v>
      </c>
      <c r="F8" s="8" t="str">
        <f>VLOOKUP(B8,Assignment!$L$3:$N$13,4,FALSE())</f>
        <v>#REF!</v>
      </c>
    </row>
    <row r="9">
      <c r="B9" s="1" t="s">
        <v>1519</v>
      </c>
      <c r="C9" s="188" t="s">
        <v>3699</v>
      </c>
    </row>
    <row r="10">
      <c r="B10" s="1" t="s">
        <v>665</v>
      </c>
      <c r="C10" s="187" t="s">
        <v>3700</v>
      </c>
      <c r="H10" s="8" t="str">
        <f>VLOOKUP(B10,Assignment!$S$3:$W$13,4,FALSE())</f>
        <v/>
      </c>
    </row>
    <row r="11">
      <c r="B11" s="1" t="s">
        <v>1959</v>
      </c>
      <c r="C11" s="187" t="s">
        <v>3701</v>
      </c>
    </row>
    <row r="12">
      <c r="B12" s="1" t="s">
        <v>587</v>
      </c>
      <c r="C12" s="188" t="s">
        <v>3702</v>
      </c>
    </row>
    <row r="13">
      <c r="B13" s="1" t="s">
        <v>825</v>
      </c>
      <c r="C13" s="188" t="s">
        <v>3703</v>
      </c>
      <c r="E13" s="8" t="str">
        <f>VLOOKUP(B13,Assignment!$G$3:$J$13,4,FALSE())</f>
        <v>TC</v>
      </c>
    </row>
    <row r="14">
      <c r="B14" s="1" t="s">
        <v>128</v>
      </c>
      <c r="C14" s="187" t="s">
        <v>3704</v>
      </c>
      <c r="F14" s="8" t="str">
        <f>VLOOKUP(B14,Assignment!$L$3:$N$13,4,FALSE())</f>
        <v>#REF!</v>
      </c>
    </row>
    <row r="15">
      <c r="B15" s="1" t="s">
        <v>636</v>
      </c>
      <c r="C15" s="188" t="s">
        <v>3705</v>
      </c>
      <c r="G15" s="8" t="str">
        <f>VLOOKUP(B15,Assignment!$O$3:$R$13,4,FALSE())</f>
        <v>TE</v>
      </c>
    </row>
    <row r="16">
      <c r="B16" s="1" t="s">
        <v>686</v>
      </c>
      <c r="C16" s="187" t="s">
        <v>3706</v>
      </c>
    </row>
    <row r="17">
      <c r="B17" s="1" t="s">
        <v>1470</v>
      </c>
      <c r="C17" s="188" t="s">
        <v>3707</v>
      </c>
    </row>
    <row r="18">
      <c r="B18" s="1" t="s">
        <v>1327</v>
      </c>
      <c r="C18" s="187" t="s">
        <v>3708</v>
      </c>
      <c r="G18" s="8" t="str">
        <f>VLOOKUP(B18,Assignment!$O$3:$R$13,4,FALSE())</f>
        <v>TE</v>
      </c>
    </row>
    <row r="19">
      <c r="B19" s="1" t="s">
        <v>1798</v>
      </c>
      <c r="C19" s="187" t="s">
        <v>3709</v>
      </c>
    </row>
    <row r="20">
      <c r="B20" s="1" t="s">
        <v>483</v>
      </c>
      <c r="C20" s="187" t="s">
        <v>3710</v>
      </c>
      <c r="H20" s="8" t="str">
        <f>VLOOKUP(B20,Assignment!$S$3:$W$13,4,FALSE())</f>
        <v/>
      </c>
    </row>
    <row r="21">
      <c r="B21" s="1" t="s">
        <v>318</v>
      </c>
      <c r="C21" s="188" t="s">
        <v>3711</v>
      </c>
      <c r="F21" s="8" t="str">
        <f>VLOOKUP(B21,Assignment!$L$3:$N$13,4,FALSE())</f>
        <v>#REF!</v>
      </c>
    </row>
    <row r="22">
      <c r="B22" s="1" t="s">
        <v>1153</v>
      </c>
      <c r="C22" s="187" t="s">
        <v>3712</v>
      </c>
      <c r="E22" s="8" t="str">
        <f>VLOOKUP(B22,Assignment!$G$3:$J$13,4,FALSE())</f>
        <v>TC</v>
      </c>
    </row>
    <row r="23">
      <c r="B23" s="1" t="s">
        <v>1030</v>
      </c>
      <c r="C23" s="187" t="s">
        <v>3713</v>
      </c>
      <c r="D23" s="8" t="str">
        <f>VLOOKUP(B23,Assignment!$B$3:$F$13,4,FALSE())</f>
        <v/>
      </c>
    </row>
    <row r="24">
      <c r="B24" s="1" t="s">
        <v>957</v>
      </c>
      <c r="C24" s="187" t="s">
        <v>3714</v>
      </c>
      <c r="D24" s="8" t="str">
        <f>VLOOKUP(B24,Assignment!$B$3:$F$13,4,FALSE())</f>
        <v/>
      </c>
    </row>
    <row r="25">
      <c r="B25" s="1" t="s">
        <v>1774</v>
      </c>
      <c r="C25" s="188" t="s">
        <v>3715</v>
      </c>
      <c r="H25" s="8" t="str">
        <f>VLOOKUP(B25,Assignment!$S$3:$W$13,4,FALSE())</f>
        <v/>
      </c>
    </row>
    <row r="26">
      <c r="B26" s="1" t="s">
        <v>1901</v>
      </c>
      <c r="C26" s="187" t="s">
        <v>3716</v>
      </c>
      <c r="E26" s="8" t="str">
        <f>VLOOKUP(B26,Assignment!$G$3:$J$13,4,FALSE())</f>
        <v>TC</v>
      </c>
    </row>
    <row r="27">
      <c r="B27" s="1" t="s">
        <v>1240</v>
      </c>
      <c r="C27" s="188" t="s">
        <v>3717</v>
      </c>
      <c r="E27" s="8" t="str">
        <f>VLOOKUP(B27,Assignment!$G$3:$J$13,4,FALSE())</f>
        <v>TC</v>
      </c>
    </row>
    <row r="28">
      <c r="B28" s="1" t="s">
        <v>875</v>
      </c>
      <c r="C28" s="187" t="s">
        <v>3718</v>
      </c>
      <c r="D28" s="8" t="str">
        <f>VLOOKUP(B28,Assignment!$B$3:$F$13,4,FALSE())</f>
        <v/>
      </c>
    </row>
    <row r="29">
      <c r="B29" s="1" t="s">
        <v>1287</v>
      </c>
      <c r="C29" s="188" t="s">
        <v>3719</v>
      </c>
      <c r="E29" s="8" t="str">
        <f>VLOOKUP(B29,Assignment!$G$3:$J$13,4,FALSE())</f>
        <v>TC</v>
      </c>
    </row>
    <row r="30">
      <c r="B30" s="1" t="s">
        <v>986</v>
      </c>
      <c r="C30" s="187" t="s">
        <v>3720</v>
      </c>
      <c r="D30" s="8" t="str">
        <f>VLOOKUP(B30,Assignment!$B$3:$F$13,4,FALSE())</f>
        <v/>
      </c>
    </row>
    <row r="31">
      <c r="B31" s="1" t="s">
        <v>1775</v>
      </c>
      <c r="C31" s="188" t="s">
        <v>3721</v>
      </c>
      <c r="H31" s="8" t="str">
        <f>VLOOKUP(B31,Assignment!$S$3:$W$13,4,FALSE())</f>
        <v/>
      </c>
    </row>
    <row r="32">
      <c r="B32" s="1" t="s">
        <v>1423</v>
      </c>
      <c r="C32" s="188" t="s">
        <v>3722</v>
      </c>
    </row>
    <row r="33">
      <c r="B33" s="1" t="s">
        <v>64</v>
      </c>
      <c r="C33" s="188" t="s">
        <v>3723</v>
      </c>
      <c r="F33" s="8" t="str">
        <f>VLOOKUP(B33,Assignment!$L$3:$N$13,4,FALSE())</f>
        <v>#REF!</v>
      </c>
    </row>
    <row r="34">
      <c r="B34" s="1" t="s">
        <v>571</v>
      </c>
      <c r="C34" s="187" t="s">
        <v>3724</v>
      </c>
    </row>
    <row r="35">
      <c r="B35" s="1" t="s">
        <v>800</v>
      </c>
      <c r="C35" s="188" t="s">
        <v>3725</v>
      </c>
      <c r="E35" s="8" t="str">
        <f>VLOOKUP(B35,Assignment!$G$3:$J$13,4,FALSE())</f>
        <v>TC</v>
      </c>
    </row>
    <row r="36">
      <c r="B36" s="1" t="s">
        <v>424</v>
      </c>
      <c r="C36" s="187" t="s">
        <v>3726</v>
      </c>
      <c r="G36" s="8" t="str">
        <f>VLOOKUP(B36,Assignment!$O$3:$R$13,4,FALSE())</f>
        <v>TE</v>
      </c>
    </row>
    <row r="37">
      <c r="B37" s="1" t="s">
        <v>516</v>
      </c>
      <c r="C37" s="187" t="s">
        <v>3727</v>
      </c>
    </row>
    <row r="38">
      <c r="B38" s="1" t="s">
        <v>935</v>
      </c>
      <c r="C38" s="187" t="s">
        <v>3728</v>
      </c>
      <c r="D38" s="8" t="str">
        <f>VLOOKUP(B38,Assignment!$B$3:$F$13,4,FALSE())</f>
        <v/>
      </c>
    </row>
    <row r="39">
      <c r="B39" s="1" t="s">
        <v>2091</v>
      </c>
      <c r="C39" s="188" t="s">
        <v>3729</v>
      </c>
      <c r="H39" s="8" t="str">
        <f>VLOOKUP(B39,Assignment!$S$3:$W$13,4,FALSE())</f>
        <v/>
      </c>
    </row>
    <row r="40">
      <c r="B40" s="1" t="s">
        <v>1300</v>
      </c>
      <c r="C40" s="187" t="s">
        <v>3730</v>
      </c>
      <c r="G40" s="8" t="str">
        <f>VLOOKUP(B40,Assignment!$O$3:$R$13,4,FALSE())</f>
        <v>TE</v>
      </c>
    </row>
    <row r="41">
      <c r="B41" s="1" t="s">
        <v>448</v>
      </c>
      <c r="C41" s="187" t="s">
        <v>3731</v>
      </c>
      <c r="G41" s="8" t="str">
        <f>VLOOKUP(B41,Assignment!$O$3:$R$13,4,FALSE())</f>
        <v>TE</v>
      </c>
    </row>
    <row r="42">
      <c r="B42" s="1" t="s">
        <v>1671</v>
      </c>
      <c r="C42" s="187" t="s">
        <v>3732</v>
      </c>
    </row>
    <row r="43">
      <c r="B43" s="1" t="s">
        <v>1394</v>
      </c>
      <c r="C43" s="187" t="s">
        <v>3733</v>
      </c>
    </row>
    <row r="44">
      <c r="B44" s="1" t="s">
        <v>1520</v>
      </c>
      <c r="C44" s="187" t="s">
        <v>3734</v>
      </c>
      <c r="G44" s="8" t="str">
        <f>VLOOKUP(B44,Assignment!$O$3:$R$13,4,FALSE())</f>
        <v>TE</v>
      </c>
    </row>
    <row r="45">
      <c r="B45" s="1" t="s">
        <v>284</v>
      </c>
      <c r="C45" s="187" t="s">
        <v>3735</v>
      </c>
      <c r="F45" s="8" t="str">
        <f>VLOOKUP(B45,Assignment!$L$3:$N$13,4,FALSE())</f>
        <v>#REF!</v>
      </c>
    </row>
    <row r="46">
      <c r="B46" s="1" t="s">
        <v>1997</v>
      </c>
      <c r="C46" s="187" t="s">
        <v>3736</v>
      </c>
    </row>
    <row r="47">
      <c r="B47" s="1" t="s">
        <v>1557</v>
      </c>
      <c r="C47" s="187" t="s">
        <v>3737</v>
      </c>
      <c r="G47" s="8" t="str">
        <f>VLOOKUP(B47,Assignment!$O$3:$R$13,4,FALSE())</f>
        <v>TE</v>
      </c>
    </row>
    <row r="48">
      <c r="B48" s="1" t="s">
        <v>2048</v>
      </c>
      <c r="C48" s="187" t="s">
        <v>3738</v>
      </c>
      <c r="G48" s="8" t="str">
        <f>VLOOKUP(B48,Assignment!$O$3:$R$13,4,FALSE())</f>
        <v>TE</v>
      </c>
    </row>
    <row r="49">
      <c r="B49" s="1" t="s">
        <v>1113</v>
      </c>
      <c r="C49" s="187" t="s">
        <v>3739</v>
      </c>
      <c r="D49" s="8" t="str">
        <f>VLOOKUP(B49,Assignment!$B$3:$F$13,4,FALSE())</f>
        <v/>
      </c>
    </row>
    <row r="50">
      <c r="B50" s="1" t="s">
        <v>1288</v>
      </c>
      <c r="C50" s="187" t="s">
        <v>3740</v>
      </c>
      <c r="E50" s="8" t="str">
        <f>VLOOKUP(B50,Assignment!$G$3:$J$13,4,FALSE())</f>
        <v>TC</v>
      </c>
    </row>
    <row r="51">
      <c r="B51" s="1" t="s">
        <v>256</v>
      </c>
      <c r="C51" s="187" t="s">
        <v>3741</v>
      </c>
      <c r="F51" s="8" t="str">
        <f>VLOOKUP(B51,Assignment!$L$3:$N$13,4,FALSE())</f>
        <v>#REF!</v>
      </c>
    </row>
    <row r="52">
      <c r="B52" s="1" t="s">
        <v>799</v>
      </c>
      <c r="C52" s="187" t="s">
        <v>3742</v>
      </c>
      <c r="F52" s="8" t="str">
        <f>VLOOKUP(B52,Assignment!$L$3:$N$13,4,FALSE())</f>
        <v>#REF!</v>
      </c>
    </row>
    <row r="53">
      <c r="B53" s="1" t="s">
        <v>1824</v>
      </c>
      <c r="C53" s="187" t="s">
        <v>3743</v>
      </c>
    </row>
    <row r="54">
      <c r="B54" s="1" t="s">
        <v>1181</v>
      </c>
      <c r="C54" s="187" t="s">
        <v>3744</v>
      </c>
      <c r="E54" s="8" t="str">
        <f>VLOOKUP(B54,Assignment!$G$3:$J$13,4,FALSE())</f>
        <v>TC</v>
      </c>
    </row>
    <row r="55">
      <c r="B55" s="1" t="s">
        <v>369</v>
      </c>
      <c r="C55" s="187" t="s">
        <v>3745</v>
      </c>
      <c r="D55" s="8" t="str">
        <f>VLOOKUP(B55,Assignment!$B$3:$F$13,4,FALSE())</f>
        <v/>
      </c>
    </row>
    <row r="56">
      <c r="B56" s="1" t="s">
        <v>1362</v>
      </c>
      <c r="C56" s="187" t="s">
        <v>3746</v>
      </c>
    </row>
    <row r="57">
      <c r="B57" s="1" t="s">
        <v>1595</v>
      </c>
      <c r="C57" s="187" t="s">
        <v>3747</v>
      </c>
      <c r="H57" s="8" t="str">
        <f>VLOOKUP(B57,Assignment!$S$3:$W$13,4,FALSE())</f>
        <v/>
      </c>
    </row>
    <row r="58">
      <c r="B58" s="1" t="s">
        <v>1712</v>
      </c>
      <c r="C58" s="187" t="s">
        <v>3748</v>
      </c>
    </row>
    <row r="59">
      <c r="B59" s="1" t="s">
        <v>2024</v>
      </c>
      <c r="C59" s="187" t="s">
        <v>3749</v>
      </c>
      <c r="G59" s="8" t="str">
        <f>VLOOKUP(B59,Assignment!$O$3:$R$13,4,FALSE())</f>
        <v>TE</v>
      </c>
    </row>
    <row r="60">
      <c r="B60" s="1" t="s">
        <v>1618</v>
      </c>
      <c r="C60" s="187" t="s">
        <v>3750</v>
      </c>
      <c r="H60" s="8" t="str">
        <f>VLOOKUP(B60,Assignment!$S$3:$W$13,4,FALSE())</f>
        <v/>
      </c>
    </row>
    <row r="61">
      <c r="B61" s="1" t="s">
        <v>973</v>
      </c>
      <c r="C61" s="187" t="s">
        <v>3751</v>
      </c>
      <c r="D61" s="8" t="str">
        <f>VLOOKUP(B61,Assignment!$B$3:$F$13,4,FALSE())</f>
        <v/>
      </c>
    </row>
    <row r="62">
      <c r="B62" s="1" t="s">
        <v>1057</v>
      </c>
      <c r="C62" s="187" t="s">
        <v>3752</v>
      </c>
      <c r="D62" s="8" t="str">
        <f>VLOOKUP(B62,Assignment!$B$3:$F$13,4,FALSE())</f>
        <v/>
      </c>
    </row>
    <row r="63">
      <c r="B63" s="1" t="s">
        <v>722</v>
      </c>
      <c r="C63" s="187" t="s">
        <v>3753</v>
      </c>
      <c r="F63" s="8" t="str">
        <f>VLOOKUP(B63,Assignment!$L$3:$N$13,4,FALSE())</f>
        <v>#REF!</v>
      </c>
    </row>
    <row r="64">
      <c r="B64" s="1" t="s">
        <v>378</v>
      </c>
      <c r="C64" s="187" t="s">
        <v>3754</v>
      </c>
      <c r="D64" s="8" t="str">
        <f>VLOOKUP(B64,Assignment!$B$3:$F$13,4,FALSE())</f>
        <v/>
      </c>
    </row>
    <row r="65">
      <c r="B65" s="1" t="s">
        <v>2147</v>
      </c>
      <c r="C65" s="187" t="s">
        <v>3755</v>
      </c>
      <c r="H65" s="8" t="str">
        <f>VLOOKUP(B65,Assignment!$S$3:$W$13,4,FALSE())</f>
        <v/>
      </c>
    </row>
    <row r="66">
      <c r="B66" s="1" t="s">
        <v>189</v>
      </c>
      <c r="C66" s="187" t="s">
        <v>3756</v>
      </c>
      <c r="F66" s="8" t="str">
        <f>VLOOKUP(B66,Assignment!$L$3:$N$13,4,FALSE())</f>
        <v>#REF!</v>
      </c>
    </row>
    <row r="67">
      <c r="B67" s="1" t="s">
        <v>2201</v>
      </c>
      <c r="C67" s="187" t="s">
        <v>3757</v>
      </c>
    </row>
    <row r="68">
      <c r="B68" s="1" t="s">
        <v>1289</v>
      </c>
      <c r="C68" s="187" t="s">
        <v>3758</v>
      </c>
      <c r="E68" s="8" t="str">
        <f>VLOOKUP(B68,Assignment!$G$3:$J$13,4,FALSE())</f>
        <v>TC</v>
      </c>
    </row>
    <row r="69">
      <c r="B69" s="1" t="s">
        <v>2202</v>
      </c>
      <c r="C69" s="187" t="s">
        <v>3759</v>
      </c>
      <c r="F69" s="8" t="str">
        <f>VLOOKUP(B69,Assignment!$L$3:$N$13,4,FALSE())</f>
        <v>#REF!</v>
      </c>
    </row>
    <row r="70">
      <c r="B70" s="1" t="s">
        <v>514</v>
      </c>
      <c r="C70" s="187" t="s">
        <v>3760</v>
      </c>
      <c r="H70" s="8" t="str">
        <f>VLOOKUP(B70,Assignment!$S$3:$W$13,4,FALSE())</f>
        <v/>
      </c>
    </row>
    <row r="71">
      <c r="B71" s="1" t="s">
        <v>1738</v>
      </c>
      <c r="C71" s="188" t="s">
        <v>3761</v>
      </c>
      <c r="G71" s="8" t="str">
        <f>VLOOKUP(B71,Assignment!$O$3:$R$13,4,FALSE())</f>
        <v>TE</v>
      </c>
    </row>
    <row r="72">
      <c r="B72" s="1" t="s">
        <v>2203</v>
      </c>
      <c r="C72" s="187" t="s">
        <v>3762</v>
      </c>
      <c r="E72" s="8" t="str">
        <f>VLOOKUP(B72,Assignment!$G$3:$J$13,4,FALSE())</f>
        <v>TC</v>
      </c>
    </row>
    <row r="73">
      <c r="B73" s="1" t="s">
        <v>542</v>
      </c>
      <c r="C73" s="187" t="s">
        <v>3763</v>
      </c>
    </row>
    <row r="74">
      <c r="B74" s="1" t="s">
        <v>2204</v>
      </c>
      <c r="C74" s="187" t="s">
        <v>3764</v>
      </c>
      <c r="H74" s="8" t="str">
        <f>VLOOKUP(B74,Assignment!$S$3:$W$13,4,FALSE())</f>
        <v/>
      </c>
    </row>
    <row r="75">
      <c r="C75" s="189"/>
    </row>
    <row r="76">
      <c r="C76" s="10"/>
    </row>
    <row r="77">
      <c r="C77" s="10"/>
    </row>
    <row r="78">
      <c r="C78" s="10"/>
    </row>
    <row r="79">
      <c r="C79" s="10"/>
    </row>
    <row r="80">
      <c r="C80" s="10"/>
    </row>
    <row r="81">
      <c r="C81" s="10"/>
    </row>
    <row r="82">
      <c r="C82" s="10"/>
    </row>
    <row r="83">
      <c r="C83" s="10"/>
    </row>
    <row r="84">
      <c r="C84" s="10"/>
    </row>
    <row r="85">
      <c r="C85" s="10"/>
    </row>
    <row r="86">
      <c r="C86" s="10"/>
    </row>
    <row r="87">
      <c r="C87" s="10"/>
    </row>
    <row r="88">
      <c r="C88" s="10"/>
    </row>
    <row r="89">
      <c r="C89" s="10"/>
    </row>
    <row r="90">
      <c r="C90" s="10"/>
    </row>
    <row r="91">
      <c r="C91" s="10"/>
    </row>
    <row r="92">
      <c r="C92" s="10"/>
    </row>
    <row r="93">
      <c r="C93" s="10"/>
    </row>
    <row r="94">
      <c r="C94" s="10"/>
    </row>
    <row r="95">
      <c r="C95" s="10"/>
    </row>
    <row r="96">
      <c r="C96" s="10"/>
    </row>
    <row r="97">
      <c r="C97" s="10"/>
    </row>
    <row r="98">
      <c r="C98" s="10"/>
    </row>
    <row r="99">
      <c r="C99" s="10"/>
    </row>
    <row r="100">
      <c r="C100" s="10"/>
    </row>
    <row r="101">
      <c r="C101" s="10"/>
    </row>
    <row r="102">
      <c r="C102" s="10"/>
    </row>
    <row r="103">
      <c r="C103" s="10"/>
    </row>
    <row r="104">
      <c r="C104" s="10"/>
    </row>
    <row r="105">
      <c r="C105" s="10"/>
    </row>
    <row r="106">
      <c r="C106" s="10"/>
    </row>
    <row r="107">
      <c r="C107" s="10"/>
    </row>
    <row r="108">
      <c r="C108" s="10"/>
    </row>
    <row r="109">
      <c r="C109" s="10"/>
    </row>
    <row r="110">
      <c r="C110" s="10"/>
    </row>
    <row r="111">
      <c r="C111" s="10"/>
    </row>
    <row r="112">
      <c r="C112" s="10"/>
    </row>
    <row r="113">
      <c r="C113" s="10"/>
    </row>
    <row r="114">
      <c r="C114" s="10"/>
    </row>
    <row r="115">
      <c r="C115" s="10"/>
    </row>
    <row r="116">
      <c r="C116" s="10"/>
    </row>
    <row r="117">
      <c r="C117" s="10"/>
    </row>
    <row r="118">
      <c r="C118" s="10"/>
    </row>
    <row r="119">
      <c r="C119" s="10"/>
    </row>
    <row r="120">
      <c r="C120" s="10"/>
    </row>
    <row r="121">
      <c r="C121" s="10"/>
    </row>
    <row r="122">
      <c r="C122" s="10"/>
    </row>
    <row r="123">
      <c r="C123" s="10"/>
    </row>
    <row r="124">
      <c r="C124" s="10"/>
    </row>
    <row r="125">
      <c r="C125" s="10"/>
    </row>
    <row r="126">
      <c r="C126" s="10"/>
    </row>
    <row r="127">
      <c r="C127" s="10"/>
    </row>
    <row r="128">
      <c r="C128" s="10"/>
    </row>
    <row r="129">
      <c r="C129" s="10"/>
    </row>
    <row r="130">
      <c r="C130" s="10"/>
    </row>
    <row r="131">
      <c r="C131" s="10"/>
    </row>
    <row r="132">
      <c r="C132" s="10"/>
    </row>
    <row r="133">
      <c r="C133" s="10"/>
    </row>
    <row r="134">
      <c r="C134" s="10"/>
    </row>
    <row r="135">
      <c r="C135" s="10"/>
    </row>
    <row r="136">
      <c r="C136" s="10"/>
    </row>
    <row r="137">
      <c r="C137" s="10"/>
    </row>
    <row r="138">
      <c r="C138" s="10"/>
    </row>
    <row r="139">
      <c r="C139" s="10"/>
    </row>
    <row r="140">
      <c r="C140" s="10"/>
    </row>
    <row r="141">
      <c r="C141" s="10"/>
    </row>
    <row r="142">
      <c r="C142" s="10"/>
    </row>
    <row r="143">
      <c r="C143" s="10"/>
    </row>
    <row r="144">
      <c r="C144" s="10"/>
    </row>
    <row r="145">
      <c r="C145" s="10"/>
    </row>
    <row r="146">
      <c r="C146" s="10"/>
    </row>
    <row r="147">
      <c r="C147" s="10"/>
    </row>
    <row r="148">
      <c r="C148" s="10"/>
    </row>
    <row r="149">
      <c r="C149" s="10"/>
    </row>
    <row r="150">
      <c r="C150" s="10"/>
    </row>
    <row r="151">
      <c r="C151" s="10"/>
    </row>
    <row r="152">
      <c r="C152" s="10"/>
    </row>
    <row r="153">
      <c r="C153" s="10"/>
    </row>
    <row r="154">
      <c r="C154" s="10"/>
    </row>
    <row r="155">
      <c r="C155" s="10"/>
    </row>
    <row r="156">
      <c r="C156" s="10"/>
    </row>
    <row r="157">
      <c r="C157" s="10"/>
    </row>
    <row r="158">
      <c r="C158" s="10"/>
    </row>
    <row r="159">
      <c r="C159" s="10"/>
    </row>
    <row r="160">
      <c r="C160" s="10"/>
    </row>
    <row r="161">
      <c r="C161" s="10"/>
    </row>
    <row r="162">
      <c r="C162" s="10"/>
    </row>
    <row r="163">
      <c r="C163" s="10"/>
    </row>
    <row r="164">
      <c r="C164" s="10"/>
    </row>
    <row r="165">
      <c r="C165" s="10"/>
    </row>
    <row r="166">
      <c r="C166" s="10"/>
    </row>
    <row r="167">
      <c r="C167" s="10"/>
    </row>
    <row r="168">
      <c r="C168" s="10"/>
    </row>
    <row r="169">
      <c r="C169" s="10"/>
    </row>
    <row r="170">
      <c r="C170" s="10"/>
    </row>
    <row r="171">
      <c r="C171" s="10"/>
    </row>
    <row r="172">
      <c r="C172" s="10"/>
    </row>
    <row r="173">
      <c r="C173" s="10"/>
    </row>
    <row r="174">
      <c r="C174" s="10"/>
    </row>
    <row r="175">
      <c r="C175" s="10"/>
    </row>
    <row r="176">
      <c r="C176" s="10"/>
    </row>
    <row r="177">
      <c r="C177" s="10"/>
    </row>
    <row r="178">
      <c r="C178" s="10"/>
    </row>
    <row r="179">
      <c r="C179" s="10"/>
    </row>
    <row r="180">
      <c r="C180" s="10"/>
    </row>
    <row r="181">
      <c r="C181" s="10"/>
    </row>
    <row r="182">
      <c r="C182" s="10"/>
    </row>
    <row r="183">
      <c r="C183" s="10"/>
    </row>
    <row r="184">
      <c r="C184" s="10"/>
    </row>
    <row r="185">
      <c r="C185" s="10"/>
    </row>
    <row r="186">
      <c r="C186" s="10"/>
    </row>
    <row r="187">
      <c r="C187" s="10"/>
    </row>
    <row r="188">
      <c r="C188" s="10"/>
    </row>
    <row r="189">
      <c r="C189" s="10"/>
    </row>
    <row r="190">
      <c r="C190" s="10"/>
    </row>
    <row r="191">
      <c r="C191" s="10"/>
    </row>
    <row r="192">
      <c r="C192" s="10"/>
    </row>
    <row r="193">
      <c r="C193" s="10"/>
    </row>
    <row r="194">
      <c r="C194" s="10"/>
    </row>
    <row r="195">
      <c r="C195" s="10"/>
    </row>
    <row r="196">
      <c r="C196" s="10"/>
    </row>
    <row r="197">
      <c r="C197" s="10"/>
    </row>
    <row r="198">
      <c r="C198" s="10"/>
    </row>
    <row r="199">
      <c r="C199" s="10"/>
    </row>
    <row r="200">
      <c r="C200" s="10"/>
    </row>
    <row r="201">
      <c r="C201" s="10"/>
    </row>
    <row r="202">
      <c r="C202" s="10"/>
    </row>
    <row r="203">
      <c r="C203" s="10"/>
    </row>
    <row r="204">
      <c r="C204" s="10"/>
    </row>
    <row r="205">
      <c r="C205" s="10"/>
    </row>
    <row r="206">
      <c r="C206" s="10"/>
    </row>
    <row r="207">
      <c r="C207" s="10"/>
    </row>
    <row r="208">
      <c r="C208" s="10"/>
    </row>
    <row r="209">
      <c r="C209" s="10"/>
    </row>
    <row r="210">
      <c r="C210" s="10"/>
    </row>
    <row r="211">
      <c r="C211" s="10"/>
    </row>
    <row r="212">
      <c r="C212" s="10"/>
    </row>
    <row r="213">
      <c r="C213" s="10"/>
    </row>
    <row r="214">
      <c r="C214" s="10"/>
    </row>
    <row r="215">
      <c r="C215" s="10"/>
    </row>
    <row r="216">
      <c r="C216" s="10"/>
    </row>
    <row r="217">
      <c r="C217" s="10"/>
    </row>
    <row r="218">
      <c r="C218" s="10"/>
    </row>
    <row r="219">
      <c r="C219" s="10"/>
    </row>
    <row r="220">
      <c r="C220" s="10"/>
    </row>
    <row r="221">
      <c r="C221" s="10"/>
    </row>
    <row r="222">
      <c r="C222" s="10"/>
    </row>
    <row r="223">
      <c r="C223" s="10"/>
    </row>
    <row r="224">
      <c r="C224" s="10"/>
    </row>
    <row r="225">
      <c r="C225" s="10"/>
    </row>
    <row r="226">
      <c r="C226" s="10"/>
    </row>
    <row r="227">
      <c r="C227" s="10"/>
    </row>
    <row r="228">
      <c r="C228" s="10"/>
    </row>
    <row r="229">
      <c r="C229" s="10"/>
    </row>
    <row r="230">
      <c r="C230" s="10"/>
    </row>
    <row r="231">
      <c r="C231" s="10"/>
    </row>
    <row r="232">
      <c r="C232" s="10"/>
    </row>
    <row r="233">
      <c r="C233" s="10"/>
    </row>
    <row r="234">
      <c r="C234" s="10"/>
    </row>
    <row r="235">
      <c r="C235" s="10"/>
    </row>
    <row r="236">
      <c r="C236" s="10"/>
    </row>
    <row r="237">
      <c r="C237" s="10"/>
    </row>
    <row r="238">
      <c r="C238" s="10"/>
    </row>
    <row r="239">
      <c r="C239" s="10"/>
    </row>
    <row r="240">
      <c r="C240" s="10"/>
    </row>
    <row r="241">
      <c r="C241" s="10"/>
    </row>
    <row r="242">
      <c r="C242" s="10"/>
    </row>
    <row r="243">
      <c r="C243" s="10"/>
    </row>
    <row r="244">
      <c r="C244" s="10"/>
    </row>
    <row r="245">
      <c r="C245" s="10"/>
    </row>
    <row r="246">
      <c r="C246" s="10"/>
    </row>
    <row r="247">
      <c r="C247" s="10"/>
    </row>
    <row r="248">
      <c r="C248" s="10"/>
    </row>
    <row r="249">
      <c r="C249" s="10"/>
    </row>
    <row r="250">
      <c r="C250" s="10"/>
    </row>
    <row r="251">
      <c r="C251" s="10"/>
    </row>
    <row r="252">
      <c r="C252" s="10"/>
    </row>
    <row r="253">
      <c r="C253" s="10"/>
    </row>
    <row r="254">
      <c r="C254" s="10"/>
    </row>
    <row r="255">
      <c r="C255" s="10"/>
    </row>
    <row r="256">
      <c r="C256" s="10"/>
    </row>
    <row r="257">
      <c r="C257" s="10"/>
    </row>
    <row r="258">
      <c r="C258" s="10"/>
    </row>
    <row r="259">
      <c r="C259" s="10"/>
    </row>
    <row r="260">
      <c r="C260" s="10"/>
    </row>
    <row r="261">
      <c r="C261" s="10"/>
    </row>
    <row r="262">
      <c r="C262" s="10"/>
    </row>
    <row r="263">
      <c r="C263" s="10"/>
    </row>
    <row r="264">
      <c r="C264" s="10"/>
    </row>
    <row r="265">
      <c r="C265" s="10"/>
    </row>
    <row r="266">
      <c r="C266" s="10"/>
    </row>
    <row r="267">
      <c r="C267" s="10"/>
    </row>
    <row r="268">
      <c r="C268" s="10"/>
    </row>
    <row r="269">
      <c r="C269" s="10"/>
    </row>
    <row r="270">
      <c r="C270" s="10"/>
    </row>
    <row r="271">
      <c r="C271" s="10"/>
    </row>
    <row r="272">
      <c r="C272" s="10"/>
    </row>
    <row r="273">
      <c r="C273" s="10"/>
    </row>
    <row r="274">
      <c r="C274" s="10"/>
    </row>
    <row r="275">
      <c r="C275" s="10"/>
    </row>
    <row r="276">
      <c r="C276" s="10"/>
    </row>
    <row r="277">
      <c r="C277" s="10"/>
    </row>
    <row r="278">
      <c r="C278" s="10"/>
    </row>
    <row r="279">
      <c r="C279" s="10"/>
    </row>
    <row r="280">
      <c r="C280" s="10"/>
    </row>
    <row r="281">
      <c r="C281" s="10"/>
    </row>
    <row r="282">
      <c r="C282" s="10"/>
    </row>
    <row r="283">
      <c r="C283" s="10"/>
    </row>
    <row r="284">
      <c r="C284" s="10"/>
    </row>
    <row r="285">
      <c r="C285" s="10"/>
    </row>
    <row r="286">
      <c r="C286" s="10"/>
    </row>
    <row r="287">
      <c r="C287" s="10"/>
    </row>
    <row r="288">
      <c r="C288" s="10"/>
    </row>
    <row r="289">
      <c r="C289" s="10"/>
    </row>
    <row r="290">
      <c r="C290" s="10"/>
    </row>
    <row r="291">
      <c r="C291" s="10"/>
    </row>
    <row r="292">
      <c r="C292" s="10"/>
    </row>
    <row r="293">
      <c r="C293" s="10"/>
    </row>
    <row r="294">
      <c r="C294" s="10"/>
    </row>
    <row r="295">
      <c r="C295" s="10"/>
    </row>
    <row r="296">
      <c r="C296" s="10"/>
    </row>
    <row r="297">
      <c r="C297" s="10"/>
    </row>
    <row r="298">
      <c r="C298" s="10"/>
    </row>
    <row r="299">
      <c r="C299" s="10"/>
    </row>
    <row r="300">
      <c r="C300" s="10"/>
    </row>
    <row r="301">
      <c r="C301" s="10"/>
    </row>
    <row r="302">
      <c r="C302" s="10"/>
    </row>
    <row r="303">
      <c r="C303" s="10"/>
    </row>
    <row r="304">
      <c r="C304" s="10"/>
    </row>
    <row r="305">
      <c r="C305" s="10"/>
    </row>
    <row r="306">
      <c r="C306" s="10"/>
    </row>
    <row r="307">
      <c r="C307" s="10"/>
    </row>
    <row r="308">
      <c r="C308" s="10"/>
    </row>
    <row r="309">
      <c r="C309" s="10"/>
    </row>
    <row r="310">
      <c r="C310" s="10"/>
    </row>
    <row r="311">
      <c r="C311" s="10"/>
    </row>
    <row r="312">
      <c r="C312" s="10"/>
    </row>
    <row r="313">
      <c r="C313" s="10"/>
    </row>
    <row r="314">
      <c r="C314" s="10"/>
    </row>
    <row r="315">
      <c r="C315" s="10"/>
    </row>
    <row r="316">
      <c r="C316" s="10"/>
    </row>
    <row r="317">
      <c r="C317" s="10"/>
    </row>
    <row r="318">
      <c r="C318" s="10"/>
    </row>
    <row r="319">
      <c r="C319" s="10"/>
    </row>
    <row r="320">
      <c r="C320" s="10"/>
    </row>
    <row r="321">
      <c r="C321" s="10"/>
    </row>
    <row r="322">
      <c r="C322" s="10"/>
    </row>
    <row r="323">
      <c r="C323" s="10"/>
    </row>
    <row r="324">
      <c r="C324" s="10"/>
    </row>
    <row r="325">
      <c r="C325" s="10"/>
    </row>
    <row r="326">
      <c r="C326" s="10"/>
    </row>
    <row r="327">
      <c r="C327" s="10"/>
    </row>
    <row r="328">
      <c r="C328" s="10"/>
    </row>
    <row r="329">
      <c r="C329" s="10"/>
    </row>
    <row r="330">
      <c r="C330" s="10"/>
    </row>
    <row r="331">
      <c r="C331" s="10"/>
    </row>
    <row r="332">
      <c r="C332" s="10"/>
    </row>
    <row r="333">
      <c r="C333" s="10"/>
    </row>
    <row r="334">
      <c r="C334" s="10"/>
    </row>
    <row r="335">
      <c r="C335" s="10"/>
    </row>
    <row r="336">
      <c r="C336" s="10"/>
    </row>
    <row r="337">
      <c r="C337" s="10"/>
    </row>
    <row r="338">
      <c r="C338" s="10"/>
    </row>
    <row r="339">
      <c r="C339" s="10"/>
    </row>
    <row r="340">
      <c r="C340" s="10"/>
    </row>
    <row r="341">
      <c r="C341" s="10"/>
    </row>
    <row r="342">
      <c r="C342" s="10"/>
    </row>
    <row r="343">
      <c r="C343" s="10"/>
    </row>
    <row r="344">
      <c r="C344" s="10"/>
    </row>
    <row r="345">
      <c r="C345" s="10"/>
    </row>
    <row r="346">
      <c r="C346" s="10"/>
    </row>
    <row r="347">
      <c r="C347" s="10"/>
    </row>
    <row r="348">
      <c r="C348" s="10"/>
    </row>
    <row r="349">
      <c r="C349" s="10"/>
    </row>
    <row r="350">
      <c r="C350" s="10"/>
    </row>
    <row r="351">
      <c r="C351" s="10"/>
    </row>
    <row r="352">
      <c r="C352" s="10"/>
    </row>
    <row r="353">
      <c r="C353" s="10"/>
    </row>
    <row r="354">
      <c r="C354" s="10"/>
    </row>
    <row r="355">
      <c r="C355" s="10"/>
    </row>
    <row r="356">
      <c r="C356" s="10"/>
    </row>
    <row r="357">
      <c r="C357" s="10"/>
    </row>
    <row r="358">
      <c r="C358" s="10"/>
    </row>
    <row r="359">
      <c r="C359" s="10"/>
    </row>
    <row r="360">
      <c r="C360" s="10"/>
    </row>
    <row r="361">
      <c r="C361" s="10"/>
    </row>
    <row r="362">
      <c r="C362" s="10"/>
    </row>
    <row r="363">
      <c r="C363" s="10"/>
    </row>
    <row r="364">
      <c r="C364" s="10"/>
    </row>
    <row r="365">
      <c r="C365" s="10"/>
    </row>
    <row r="366">
      <c r="C366" s="10"/>
    </row>
    <row r="367">
      <c r="C367" s="10"/>
    </row>
    <row r="368">
      <c r="C368" s="10"/>
    </row>
    <row r="369">
      <c r="C369" s="10"/>
    </row>
    <row r="370">
      <c r="C370" s="10"/>
    </row>
    <row r="371">
      <c r="C371" s="10"/>
    </row>
    <row r="372">
      <c r="C372" s="10"/>
    </row>
    <row r="373">
      <c r="C373" s="10"/>
    </row>
    <row r="374">
      <c r="C374" s="10"/>
    </row>
    <row r="375">
      <c r="C375" s="10"/>
    </row>
    <row r="376">
      <c r="C376" s="10"/>
    </row>
    <row r="377">
      <c r="C377" s="10"/>
    </row>
    <row r="378">
      <c r="C378" s="10"/>
    </row>
    <row r="379">
      <c r="C379" s="10"/>
    </row>
    <row r="380">
      <c r="C380" s="10"/>
    </row>
    <row r="381">
      <c r="C381" s="10"/>
    </row>
    <row r="382">
      <c r="C382" s="10"/>
    </row>
    <row r="383">
      <c r="C383" s="10"/>
    </row>
    <row r="384">
      <c r="C384" s="10"/>
    </row>
    <row r="385">
      <c r="C385" s="10"/>
    </row>
    <row r="386">
      <c r="C386" s="10"/>
    </row>
    <row r="387">
      <c r="C387" s="10"/>
    </row>
    <row r="388">
      <c r="C388" s="10"/>
    </row>
    <row r="389">
      <c r="C389" s="10"/>
    </row>
    <row r="390">
      <c r="C390" s="10"/>
    </row>
    <row r="391">
      <c r="C391" s="10"/>
    </row>
    <row r="392">
      <c r="C392" s="10"/>
    </row>
    <row r="393">
      <c r="C393" s="10"/>
    </row>
    <row r="394">
      <c r="C394" s="10"/>
    </row>
    <row r="395">
      <c r="C395" s="10"/>
    </row>
    <row r="396">
      <c r="C396" s="10"/>
    </row>
    <row r="397">
      <c r="C397" s="10"/>
    </row>
    <row r="398">
      <c r="C398" s="10"/>
    </row>
    <row r="399">
      <c r="C399" s="10"/>
    </row>
    <row r="400">
      <c r="C400" s="10"/>
    </row>
    <row r="401">
      <c r="C401" s="10"/>
    </row>
    <row r="402">
      <c r="C402" s="10"/>
    </row>
    <row r="403">
      <c r="C403" s="10"/>
    </row>
    <row r="404">
      <c r="C404" s="10"/>
    </row>
    <row r="405">
      <c r="C405" s="10"/>
    </row>
    <row r="406">
      <c r="C406" s="10"/>
    </row>
    <row r="407">
      <c r="C407" s="10"/>
    </row>
    <row r="408">
      <c r="C408" s="10"/>
    </row>
    <row r="409">
      <c r="C409" s="10"/>
    </row>
    <row r="410">
      <c r="C410" s="10"/>
    </row>
    <row r="411">
      <c r="C411" s="10"/>
    </row>
    <row r="412">
      <c r="C412" s="10"/>
    </row>
    <row r="413">
      <c r="C413" s="10"/>
    </row>
    <row r="414">
      <c r="C414" s="10"/>
    </row>
    <row r="415">
      <c r="C415" s="10"/>
    </row>
    <row r="416">
      <c r="C416" s="10"/>
    </row>
    <row r="417">
      <c r="C417" s="10"/>
    </row>
    <row r="418">
      <c r="C418" s="10"/>
    </row>
    <row r="419">
      <c r="C419" s="10"/>
    </row>
    <row r="420">
      <c r="C420" s="10"/>
    </row>
    <row r="421">
      <c r="C421" s="10"/>
    </row>
    <row r="422">
      <c r="C422" s="10"/>
    </row>
    <row r="423">
      <c r="C423" s="10"/>
    </row>
    <row r="424">
      <c r="C424" s="10"/>
    </row>
    <row r="425">
      <c r="C425" s="10"/>
    </row>
    <row r="426">
      <c r="C426" s="10"/>
    </row>
    <row r="427">
      <c r="C427" s="10"/>
    </row>
    <row r="428">
      <c r="C428" s="10"/>
    </row>
    <row r="429">
      <c r="C429" s="10"/>
    </row>
    <row r="430">
      <c r="C430" s="10"/>
    </row>
    <row r="431">
      <c r="C431" s="10"/>
    </row>
    <row r="432">
      <c r="C432" s="10"/>
    </row>
    <row r="433">
      <c r="C433" s="10"/>
    </row>
    <row r="434">
      <c r="C434" s="10"/>
    </row>
    <row r="435">
      <c r="C435" s="10"/>
    </row>
    <row r="436">
      <c r="C436" s="10"/>
    </row>
    <row r="437">
      <c r="C437" s="10"/>
    </row>
    <row r="438">
      <c r="C438" s="10"/>
    </row>
    <row r="439">
      <c r="C439" s="10"/>
    </row>
    <row r="440">
      <c r="C440" s="10"/>
    </row>
    <row r="441">
      <c r="C441" s="10"/>
    </row>
    <row r="442">
      <c r="C442" s="10"/>
    </row>
    <row r="443">
      <c r="C443" s="10"/>
    </row>
    <row r="444">
      <c r="C444" s="10"/>
    </row>
    <row r="445">
      <c r="C445" s="10"/>
    </row>
    <row r="446">
      <c r="C446" s="10"/>
    </row>
    <row r="447">
      <c r="C447" s="10"/>
    </row>
    <row r="448">
      <c r="C448" s="10"/>
    </row>
    <row r="449">
      <c r="C449" s="10"/>
    </row>
    <row r="450">
      <c r="C450" s="10"/>
    </row>
    <row r="451">
      <c r="C451" s="10"/>
    </row>
    <row r="452">
      <c r="C452" s="10"/>
    </row>
    <row r="453">
      <c r="C453" s="10"/>
    </row>
    <row r="454">
      <c r="C454" s="10"/>
    </row>
    <row r="455">
      <c r="C455" s="10"/>
    </row>
    <row r="456">
      <c r="C456" s="10"/>
    </row>
    <row r="457">
      <c r="C457" s="10"/>
    </row>
    <row r="458">
      <c r="C458" s="10"/>
    </row>
    <row r="459">
      <c r="C459" s="10"/>
    </row>
    <row r="460">
      <c r="C460" s="10"/>
    </row>
    <row r="461">
      <c r="C461" s="10"/>
    </row>
    <row r="462">
      <c r="C462" s="10"/>
    </row>
    <row r="463">
      <c r="C463" s="10"/>
    </row>
    <row r="464">
      <c r="C464" s="10"/>
    </row>
    <row r="465">
      <c r="C465" s="10"/>
    </row>
    <row r="466">
      <c r="C466" s="10"/>
    </row>
    <row r="467">
      <c r="C467" s="10"/>
    </row>
    <row r="468">
      <c r="C468" s="10"/>
    </row>
    <row r="469">
      <c r="C469" s="10"/>
    </row>
    <row r="470">
      <c r="C470" s="10"/>
    </row>
    <row r="471">
      <c r="C471" s="10"/>
    </row>
    <row r="472">
      <c r="C472" s="10"/>
    </row>
    <row r="473">
      <c r="C473" s="10"/>
    </row>
    <row r="474">
      <c r="C474" s="10"/>
    </row>
    <row r="475">
      <c r="C475" s="10"/>
    </row>
    <row r="476">
      <c r="C476" s="10"/>
    </row>
    <row r="477">
      <c r="C477" s="10"/>
    </row>
    <row r="478">
      <c r="C478" s="10"/>
    </row>
    <row r="479">
      <c r="C479" s="10"/>
    </row>
    <row r="480">
      <c r="C480" s="10"/>
    </row>
    <row r="481">
      <c r="C481" s="10"/>
    </row>
    <row r="482">
      <c r="C482" s="10"/>
    </row>
    <row r="483">
      <c r="C483" s="10"/>
    </row>
    <row r="484">
      <c r="C484" s="10"/>
    </row>
    <row r="485">
      <c r="C485" s="10"/>
    </row>
    <row r="486">
      <c r="C486" s="10"/>
    </row>
    <row r="487">
      <c r="C487" s="10"/>
    </row>
    <row r="488">
      <c r="C488" s="10"/>
    </row>
    <row r="489">
      <c r="C489" s="10"/>
    </row>
    <row r="490">
      <c r="C490" s="10"/>
    </row>
    <row r="491">
      <c r="C491" s="10"/>
    </row>
    <row r="492">
      <c r="C492" s="10"/>
    </row>
    <row r="493">
      <c r="C493" s="10"/>
    </row>
    <row r="494">
      <c r="C494" s="10"/>
    </row>
    <row r="495">
      <c r="C495" s="10"/>
    </row>
    <row r="496">
      <c r="C496" s="10"/>
    </row>
    <row r="497">
      <c r="C497" s="10"/>
    </row>
    <row r="498">
      <c r="C498" s="10"/>
    </row>
    <row r="499">
      <c r="C499" s="10"/>
    </row>
    <row r="500">
      <c r="C500" s="10"/>
    </row>
    <row r="501">
      <c r="C501" s="10"/>
    </row>
    <row r="502">
      <c r="C502" s="10"/>
    </row>
    <row r="503">
      <c r="C503" s="10"/>
    </row>
    <row r="504">
      <c r="C504" s="10"/>
    </row>
    <row r="505">
      <c r="C505" s="10"/>
    </row>
    <row r="506">
      <c r="C506" s="10"/>
    </row>
    <row r="507">
      <c r="C507" s="10"/>
    </row>
    <row r="508">
      <c r="C508" s="10"/>
    </row>
    <row r="509">
      <c r="C509" s="10"/>
    </row>
    <row r="510">
      <c r="C510" s="10"/>
    </row>
    <row r="511">
      <c r="C511" s="10"/>
    </row>
    <row r="512">
      <c r="C512" s="10"/>
    </row>
    <row r="513">
      <c r="C513" s="10"/>
    </row>
    <row r="514">
      <c r="C514" s="10"/>
    </row>
    <row r="515">
      <c r="C515" s="10"/>
    </row>
    <row r="516">
      <c r="C516" s="10"/>
    </row>
    <row r="517">
      <c r="C517" s="10"/>
    </row>
    <row r="518">
      <c r="C518" s="10"/>
    </row>
    <row r="519">
      <c r="C519" s="10"/>
    </row>
    <row r="520">
      <c r="C520" s="10"/>
    </row>
    <row r="521">
      <c r="C521" s="10"/>
    </row>
    <row r="522">
      <c r="C522" s="10"/>
    </row>
    <row r="523">
      <c r="C523" s="10"/>
    </row>
    <row r="524">
      <c r="C524" s="10"/>
    </row>
    <row r="525">
      <c r="C525" s="10"/>
    </row>
    <row r="526">
      <c r="C526" s="10"/>
    </row>
    <row r="527">
      <c r="C527" s="10"/>
    </row>
    <row r="528">
      <c r="C528" s="10"/>
    </row>
    <row r="529">
      <c r="C529" s="10"/>
    </row>
    <row r="530">
      <c r="C530" s="10"/>
    </row>
    <row r="531">
      <c r="C531" s="10"/>
    </row>
    <row r="532">
      <c r="C532" s="10"/>
    </row>
    <row r="533">
      <c r="C533" s="10"/>
    </row>
    <row r="534">
      <c r="C534" s="10"/>
    </row>
    <row r="535">
      <c r="C535" s="10"/>
    </row>
    <row r="536">
      <c r="C536" s="10"/>
    </row>
    <row r="537">
      <c r="C537" s="10"/>
    </row>
    <row r="538">
      <c r="C538" s="10"/>
    </row>
    <row r="539">
      <c r="C539" s="10"/>
    </row>
    <row r="540">
      <c r="C540" s="10"/>
    </row>
    <row r="541">
      <c r="C541" s="10"/>
    </row>
    <row r="542">
      <c r="C542" s="10"/>
    </row>
    <row r="543">
      <c r="C543" s="10"/>
    </row>
    <row r="544">
      <c r="C544" s="10"/>
    </row>
    <row r="545">
      <c r="C545" s="10"/>
    </row>
    <row r="546">
      <c r="C546" s="10"/>
    </row>
    <row r="547">
      <c r="C547" s="10"/>
    </row>
    <row r="548">
      <c r="C548" s="10"/>
    </row>
    <row r="549">
      <c r="C549" s="10"/>
    </row>
    <row r="550">
      <c r="C550" s="10"/>
    </row>
    <row r="551">
      <c r="C551" s="10"/>
    </row>
    <row r="552">
      <c r="C552" s="10"/>
    </row>
    <row r="553">
      <c r="C553" s="10"/>
    </row>
    <row r="554">
      <c r="C554" s="10"/>
    </row>
    <row r="555">
      <c r="C555" s="10"/>
    </row>
    <row r="556">
      <c r="C556" s="10"/>
    </row>
    <row r="557">
      <c r="C557" s="10"/>
    </row>
    <row r="558">
      <c r="C558" s="10"/>
    </row>
    <row r="559">
      <c r="C559" s="10"/>
    </row>
    <row r="560">
      <c r="C560" s="10"/>
    </row>
    <row r="561">
      <c r="C561" s="10"/>
    </row>
    <row r="562">
      <c r="C562" s="10"/>
    </row>
    <row r="563">
      <c r="C563" s="10"/>
    </row>
    <row r="564">
      <c r="C564" s="10"/>
    </row>
    <row r="565">
      <c r="C565" s="10"/>
    </row>
    <row r="566">
      <c r="C566" s="10"/>
    </row>
    <row r="567">
      <c r="C567" s="10"/>
    </row>
    <row r="568">
      <c r="C568" s="10"/>
    </row>
    <row r="569">
      <c r="C569" s="10"/>
    </row>
    <row r="570">
      <c r="C570" s="10"/>
    </row>
    <row r="571">
      <c r="C571" s="10"/>
    </row>
    <row r="572">
      <c r="C572" s="10"/>
    </row>
    <row r="573">
      <c r="C573" s="10"/>
    </row>
    <row r="574">
      <c r="C574" s="10"/>
    </row>
    <row r="575">
      <c r="C575" s="10"/>
    </row>
    <row r="576">
      <c r="C576" s="10"/>
    </row>
    <row r="577">
      <c r="C577" s="10"/>
    </row>
    <row r="578">
      <c r="C578" s="10"/>
    </row>
    <row r="579">
      <c r="C579" s="10"/>
    </row>
    <row r="580">
      <c r="C580" s="10"/>
    </row>
    <row r="581">
      <c r="C581" s="10"/>
    </row>
    <row r="582">
      <c r="C582" s="10"/>
    </row>
    <row r="583">
      <c r="C583" s="10"/>
    </row>
    <row r="584">
      <c r="C584" s="10"/>
    </row>
    <row r="585">
      <c r="C585" s="10"/>
    </row>
    <row r="586">
      <c r="C586" s="10"/>
    </row>
    <row r="587">
      <c r="C587" s="10"/>
    </row>
    <row r="588">
      <c r="C588" s="10"/>
    </row>
    <row r="589">
      <c r="C589" s="10"/>
    </row>
    <row r="590">
      <c r="C590" s="10"/>
    </row>
    <row r="591">
      <c r="C591" s="10"/>
    </row>
    <row r="592">
      <c r="C592" s="10"/>
    </row>
    <row r="593">
      <c r="C593" s="10"/>
    </row>
    <row r="594">
      <c r="C594" s="10"/>
    </row>
    <row r="595">
      <c r="C595" s="10"/>
    </row>
    <row r="596">
      <c r="C596" s="10"/>
    </row>
    <row r="597">
      <c r="C597" s="10"/>
    </row>
    <row r="598">
      <c r="C598" s="10"/>
    </row>
    <row r="599">
      <c r="C599" s="10"/>
    </row>
    <row r="600">
      <c r="C600" s="10"/>
    </row>
    <row r="601">
      <c r="C601" s="10"/>
    </row>
    <row r="602">
      <c r="C602" s="10"/>
    </row>
    <row r="603">
      <c r="C603" s="10"/>
    </row>
    <row r="604">
      <c r="C604" s="10"/>
    </row>
    <row r="605">
      <c r="C605" s="10"/>
    </row>
    <row r="606">
      <c r="C606" s="10"/>
    </row>
    <row r="607">
      <c r="C607" s="10"/>
    </row>
    <row r="608">
      <c r="C608" s="10"/>
    </row>
    <row r="609">
      <c r="C609" s="10"/>
    </row>
    <row r="610">
      <c r="C610" s="10"/>
    </row>
    <row r="611">
      <c r="C611" s="10"/>
    </row>
    <row r="612">
      <c r="C612" s="10"/>
    </row>
    <row r="613">
      <c r="C613" s="10"/>
    </row>
    <row r="614">
      <c r="C614" s="10"/>
    </row>
    <row r="615">
      <c r="C615" s="10"/>
    </row>
    <row r="616">
      <c r="C616" s="10"/>
    </row>
    <row r="617">
      <c r="C617" s="10"/>
    </row>
    <row r="618">
      <c r="C618" s="10"/>
    </row>
    <row r="619">
      <c r="C619" s="10"/>
    </row>
    <row r="620">
      <c r="C620" s="10"/>
    </row>
    <row r="621">
      <c r="C621" s="10"/>
    </row>
    <row r="622">
      <c r="C622" s="10"/>
    </row>
    <row r="623">
      <c r="C623" s="10"/>
    </row>
    <row r="624">
      <c r="C624" s="10"/>
    </row>
    <row r="625">
      <c r="C625" s="10"/>
    </row>
    <row r="626">
      <c r="C626" s="10"/>
    </row>
    <row r="627">
      <c r="C627" s="10"/>
    </row>
    <row r="628">
      <c r="C628" s="10"/>
    </row>
    <row r="629">
      <c r="C629" s="10"/>
    </row>
    <row r="630">
      <c r="C630" s="10"/>
    </row>
    <row r="631">
      <c r="C631" s="10"/>
    </row>
    <row r="632">
      <c r="C632" s="10"/>
    </row>
    <row r="633">
      <c r="C633" s="10"/>
    </row>
    <row r="634">
      <c r="C634" s="10"/>
    </row>
    <row r="635">
      <c r="C635" s="10"/>
    </row>
    <row r="636">
      <c r="C636" s="10"/>
    </row>
    <row r="637">
      <c r="C637" s="10"/>
    </row>
    <row r="638">
      <c r="C638" s="10"/>
    </row>
    <row r="639">
      <c r="C639" s="10"/>
    </row>
    <row r="640">
      <c r="C640" s="10"/>
    </row>
    <row r="641">
      <c r="C641" s="10"/>
    </row>
    <row r="642">
      <c r="C642" s="10"/>
    </row>
    <row r="643">
      <c r="C643" s="10"/>
    </row>
    <row r="644">
      <c r="C644" s="10"/>
    </row>
    <row r="645">
      <c r="C645" s="10"/>
    </row>
    <row r="646">
      <c r="C646" s="10"/>
    </row>
    <row r="647">
      <c r="C647" s="10"/>
    </row>
    <row r="648">
      <c r="C648" s="10"/>
    </row>
    <row r="649">
      <c r="C649" s="10"/>
    </row>
    <row r="650">
      <c r="C650" s="10"/>
    </row>
    <row r="651">
      <c r="C651" s="10"/>
    </row>
    <row r="652">
      <c r="C652" s="10"/>
    </row>
    <row r="653">
      <c r="C653" s="10"/>
    </row>
    <row r="654">
      <c r="C654" s="10"/>
    </row>
    <row r="655">
      <c r="C655" s="10"/>
    </row>
    <row r="656">
      <c r="C656" s="10"/>
    </row>
    <row r="657">
      <c r="C657" s="10"/>
    </row>
    <row r="658">
      <c r="C658" s="10"/>
    </row>
    <row r="659">
      <c r="C659" s="10"/>
    </row>
    <row r="660">
      <c r="C660" s="10"/>
    </row>
    <row r="661">
      <c r="C661" s="10"/>
    </row>
    <row r="662">
      <c r="C662" s="10"/>
    </row>
    <row r="663">
      <c r="C663" s="10"/>
    </row>
    <row r="664">
      <c r="C664" s="10"/>
    </row>
    <row r="665">
      <c r="C665" s="10"/>
    </row>
    <row r="666">
      <c r="C666" s="10"/>
    </row>
    <row r="667">
      <c r="C667" s="10"/>
    </row>
    <row r="668">
      <c r="C668" s="10"/>
    </row>
    <row r="669">
      <c r="C669" s="10"/>
    </row>
    <row r="670">
      <c r="C670" s="10"/>
    </row>
    <row r="671">
      <c r="C671" s="10"/>
    </row>
    <row r="672">
      <c r="C672" s="10"/>
    </row>
    <row r="673">
      <c r="C673" s="10"/>
    </row>
    <row r="674">
      <c r="C674" s="10"/>
    </row>
    <row r="675">
      <c r="C675" s="10"/>
    </row>
    <row r="676">
      <c r="C676" s="10"/>
    </row>
    <row r="677">
      <c r="C677" s="10"/>
    </row>
    <row r="678">
      <c r="C678" s="10"/>
    </row>
    <row r="679">
      <c r="C679" s="10"/>
    </row>
    <row r="680">
      <c r="C680" s="10"/>
    </row>
    <row r="681">
      <c r="C681" s="10"/>
    </row>
    <row r="682">
      <c r="C682" s="10"/>
    </row>
    <row r="683">
      <c r="C683" s="10"/>
    </row>
    <row r="684">
      <c r="C684" s="10"/>
    </row>
    <row r="685">
      <c r="C685" s="10"/>
    </row>
    <row r="686">
      <c r="C686" s="10"/>
    </row>
    <row r="687">
      <c r="C687" s="10"/>
    </row>
    <row r="688">
      <c r="C688" s="10"/>
    </row>
    <row r="689">
      <c r="C689" s="10"/>
    </row>
    <row r="690">
      <c r="C690" s="10"/>
    </row>
    <row r="691">
      <c r="C691" s="10"/>
    </row>
    <row r="692">
      <c r="C692" s="10"/>
    </row>
    <row r="693">
      <c r="C693" s="10"/>
    </row>
    <row r="694">
      <c r="C694" s="10"/>
    </row>
    <row r="695">
      <c r="C695" s="10"/>
    </row>
    <row r="696">
      <c r="C696" s="10"/>
    </row>
    <row r="697">
      <c r="C697" s="10"/>
    </row>
    <row r="698">
      <c r="C698" s="10"/>
    </row>
    <row r="699">
      <c r="C699" s="10"/>
    </row>
    <row r="700">
      <c r="C700" s="10"/>
    </row>
    <row r="701">
      <c r="C701" s="10"/>
    </row>
    <row r="702">
      <c r="C702" s="10"/>
    </row>
    <row r="703">
      <c r="C703" s="10"/>
    </row>
    <row r="704">
      <c r="C704" s="10"/>
    </row>
    <row r="705">
      <c r="C705" s="10"/>
    </row>
    <row r="706">
      <c r="C706" s="10"/>
    </row>
    <row r="707">
      <c r="C707" s="10"/>
    </row>
    <row r="708">
      <c r="C708" s="10"/>
    </row>
    <row r="709">
      <c r="C709" s="10"/>
    </row>
    <row r="710">
      <c r="C710" s="10"/>
    </row>
    <row r="711">
      <c r="C711" s="10"/>
    </row>
    <row r="712">
      <c r="C712" s="10"/>
    </row>
    <row r="713">
      <c r="C713" s="10"/>
    </row>
    <row r="714">
      <c r="C714" s="10"/>
    </row>
    <row r="715">
      <c r="C715" s="10"/>
    </row>
    <row r="716">
      <c r="C716" s="10"/>
    </row>
    <row r="717">
      <c r="C717" s="10"/>
    </row>
    <row r="718">
      <c r="C718" s="10"/>
    </row>
    <row r="719">
      <c r="C719" s="10"/>
    </row>
    <row r="720">
      <c r="C720" s="10"/>
    </row>
    <row r="721">
      <c r="C721" s="10"/>
    </row>
    <row r="722">
      <c r="C722" s="10"/>
    </row>
    <row r="723">
      <c r="C723" s="10"/>
    </row>
    <row r="724">
      <c r="C724" s="10"/>
    </row>
    <row r="725">
      <c r="C725" s="10"/>
    </row>
    <row r="726">
      <c r="C726" s="10"/>
    </row>
    <row r="727">
      <c r="C727" s="10"/>
    </row>
    <row r="728">
      <c r="C728" s="10"/>
    </row>
    <row r="729">
      <c r="C729" s="10"/>
    </row>
    <row r="730">
      <c r="C730" s="10"/>
    </row>
    <row r="731">
      <c r="C731" s="10"/>
    </row>
    <row r="732">
      <c r="C732" s="10"/>
    </row>
    <row r="733">
      <c r="C733" s="10"/>
    </row>
    <row r="734">
      <c r="C734" s="10"/>
    </row>
    <row r="735">
      <c r="C735" s="10"/>
    </row>
    <row r="736">
      <c r="C736" s="10"/>
    </row>
    <row r="737">
      <c r="C737" s="10"/>
    </row>
    <row r="738">
      <c r="C738" s="10"/>
    </row>
    <row r="739">
      <c r="C739" s="10"/>
    </row>
    <row r="740">
      <c r="C740" s="10"/>
    </row>
    <row r="741">
      <c r="C741" s="10"/>
    </row>
    <row r="742">
      <c r="C742" s="10"/>
    </row>
    <row r="743">
      <c r="C743" s="10"/>
    </row>
    <row r="744">
      <c r="C744" s="10"/>
    </row>
    <row r="745">
      <c r="C745" s="10"/>
    </row>
    <row r="746">
      <c r="C746" s="10"/>
    </row>
    <row r="747">
      <c r="C747" s="10"/>
    </row>
    <row r="748">
      <c r="C748" s="10"/>
    </row>
    <row r="749">
      <c r="C749" s="10"/>
    </row>
    <row r="750">
      <c r="C750" s="10"/>
    </row>
    <row r="751">
      <c r="C751" s="10"/>
    </row>
    <row r="752">
      <c r="C752" s="10"/>
    </row>
    <row r="753">
      <c r="C753" s="10"/>
    </row>
    <row r="754">
      <c r="C754" s="10"/>
    </row>
    <row r="755">
      <c r="C755" s="10"/>
    </row>
    <row r="756">
      <c r="C756" s="10"/>
    </row>
    <row r="757">
      <c r="C757" s="10"/>
    </row>
    <row r="758">
      <c r="C758" s="10"/>
    </row>
    <row r="759">
      <c r="C759" s="10"/>
    </row>
    <row r="760">
      <c r="C760" s="10"/>
    </row>
    <row r="761">
      <c r="C761" s="10"/>
    </row>
    <row r="762">
      <c r="C762" s="10"/>
    </row>
    <row r="763">
      <c r="C763" s="10"/>
    </row>
    <row r="764">
      <c r="C764" s="10"/>
    </row>
    <row r="765">
      <c r="C765" s="10"/>
    </row>
    <row r="766">
      <c r="C766" s="10"/>
    </row>
    <row r="767">
      <c r="C767" s="10"/>
    </row>
    <row r="768">
      <c r="C768" s="10"/>
    </row>
    <row r="769">
      <c r="C769" s="10"/>
    </row>
    <row r="770">
      <c r="C770" s="10"/>
    </row>
    <row r="771">
      <c r="C771" s="10"/>
    </row>
    <row r="772">
      <c r="C772" s="10"/>
    </row>
    <row r="773">
      <c r="C773" s="10"/>
    </row>
    <row r="774">
      <c r="C774" s="10"/>
    </row>
    <row r="775">
      <c r="C775" s="10"/>
    </row>
    <row r="776">
      <c r="C776" s="10"/>
    </row>
    <row r="777">
      <c r="C777" s="10"/>
    </row>
    <row r="778">
      <c r="C778" s="10"/>
    </row>
    <row r="779">
      <c r="C779" s="10"/>
    </row>
    <row r="780">
      <c r="C780" s="10"/>
    </row>
    <row r="781">
      <c r="C781" s="10"/>
    </row>
    <row r="782">
      <c r="C782" s="10"/>
    </row>
    <row r="783">
      <c r="C783" s="10"/>
    </row>
    <row r="784">
      <c r="C784" s="10"/>
    </row>
    <row r="785">
      <c r="C785" s="10"/>
    </row>
    <row r="786">
      <c r="C786" s="10"/>
    </row>
    <row r="787">
      <c r="C787" s="10"/>
    </row>
    <row r="788">
      <c r="C788" s="10"/>
    </row>
    <row r="789">
      <c r="C789" s="10"/>
    </row>
    <row r="790">
      <c r="C790" s="10"/>
    </row>
    <row r="791">
      <c r="C791" s="10"/>
    </row>
    <row r="792">
      <c r="C792" s="10"/>
    </row>
    <row r="793">
      <c r="C793" s="10"/>
    </row>
    <row r="794">
      <c r="C794" s="10"/>
    </row>
    <row r="795">
      <c r="C795" s="10"/>
    </row>
    <row r="796">
      <c r="C796" s="10"/>
    </row>
    <row r="797">
      <c r="C797" s="10"/>
    </row>
    <row r="798">
      <c r="C798" s="10"/>
    </row>
    <row r="799">
      <c r="C799" s="10"/>
    </row>
    <row r="800">
      <c r="C800" s="10"/>
    </row>
    <row r="801">
      <c r="C801" s="10"/>
    </row>
    <row r="802">
      <c r="C802" s="10"/>
    </row>
    <row r="803">
      <c r="C803" s="10"/>
    </row>
    <row r="804">
      <c r="C804" s="10"/>
    </row>
    <row r="805">
      <c r="C805" s="10"/>
    </row>
    <row r="806">
      <c r="C806" s="10"/>
    </row>
    <row r="807">
      <c r="C807" s="10"/>
    </row>
    <row r="808">
      <c r="C808" s="10"/>
    </row>
    <row r="809">
      <c r="C809" s="10"/>
    </row>
    <row r="810">
      <c r="C810" s="10"/>
    </row>
    <row r="811">
      <c r="C811" s="10"/>
    </row>
    <row r="812">
      <c r="C812" s="10"/>
    </row>
    <row r="813">
      <c r="C813" s="10"/>
    </row>
    <row r="814">
      <c r="C814" s="10"/>
    </row>
    <row r="815">
      <c r="C815" s="10"/>
    </row>
    <row r="816">
      <c r="C816" s="10"/>
    </row>
    <row r="817">
      <c r="C817" s="10"/>
    </row>
    <row r="818">
      <c r="C818" s="10"/>
    </row>
    <row r="819">
      <c r="C819" s="10"/>
    </row>
    <row r="820">
      <c r="C820" s="10"/>
    </row>
    <row r="821">
      <c r="C821" s="10"/>
    </row>
    <row r="822">
      <c r="C822" s="10"/>
    </row>
    <row r="823">
      <c r="C823" s="10"/>
    </row>
    <row r="824">
      <c r="C824" s="10"/>
    </row>
    <row r="825">
      <c r="C825" s="10"/>
    </row>
    <row r="826">
      <c r="C826" s="10"/>
    </row>
    <row r="827">
      <c r="C827" s="10"/>
    </row>
    <row r="828">
      <c r="C828" s="10"/>
    </row>
    <row r="829">
      <c r="C829" s="10"/>
    </row>
    <row r="830">
      <c r="C830" s="10"/>
    </row>
    <row r="831">
      <c r="C831" s="10"/>
    </row>
    <row r="832">
      <c r="C832" s="10"/>
    </row>
    <row r="833">
      <c r="C833" s="10"/>
    </row>
    <row r="834">
      <c r="C834" s="10"/>
    </row>
    <row r="835">
      <c r="C835" s="10"/>
    </row>
    <row r="836">
      <c r="C836" s="10"/>
    </row>
    <row r="837">
      <c r="C837" s="10"/>
    </row>
    <row r="838">
      <c r="C838" s="10"/>
    </row>
    <row r="839">
      <c r="C839" s="10"/>
    </row>
    <row r="840">
      <c r="C840" s="10"/>
    </row>
    <row r="841">
      <c r="C841" s="10"/>
    </row>
    <row r="842">
      <c r="C842" s="10"/>
    </row>
    <row r="843">
      <c r="C843" s="10"/>
    </row>
    <row r="844">
      <c r="C844" s="10"/>
    </row>
    <row r="845">
      <c r="C845" s="10"/>
    </row>
    <row r="846">
      <c r="C846" s="10"/>
    </row>
    <row r="847">
      <c r="C847" s="10"/>
    </row>
    <row r="848">
      <c r="C848" s="10"/>
    </row>
    <row r="849">
      <c r="C849" s="10"/>
    </row>
    <row r="850">
      <c r="C850" s="10"/>
    </row>
    <row r="851">
      <c r="C851" s="10"/>
    </row>
    <row r="852">
      <c r="C852" s="10"/>
    </row>
    <row r="853">
      <c r="C853" s="10"/>
    </row>
    <row r="854">
      <c r="C854" s="10"/>
    </row>
    <row r="855">
      <c r="C855" s="10"/>
    </row>
    <row r="856">
      <c r="C856" s="10"/>
    </row>
    <row r="857">
      <c r="C857" s="10"/>
    </row>
    <row r="858">
      <c r="C858" s="10"/>
    </row>
    <row r="859">
      <c r="C859" s="10"/>
    </row>
    <row r="860">
      <c r="C860" s="10"/>
    </row>
    <row r="861">
      <c r="C861" s="10"/>
    </row>
    <row r="862">
      <c r="C862" s="10"/>
    </row>
    <row r="863">
      <c r="C863" s="10"/>
    </row>
    <row r="864">
      <c r="C864" s="10"/>
    </row>
    <row r="865">
      <c r="C865" s="10"/>
    </row>
    <row r="866">
      <c r="C866" s="10"/>
    </row>
    <row r="867">
      <c r="C867" s="10"/>
    </row>
    <row r="868">
      <c r="C868" s="10"/>
    </row>
    <row r="869">
      <c r="C869" s="10"/>
    </row>
    <row r="870">
      <c r="C870" s="10"/>
    </row>
    <row r="871">
      <c r="C871" s="10"/>
    </row>
    <row r="872">
      <c r="C872" s="10"/>
    </row>
    <row r="873">
      <c r="C873" s="10"/>
    </row>
    <row r="874">
      <c r="C874" s="10"/>
    </row>
    <row r="875">
      <c r="C875" s="10"/>
    </row>
    <row r="876">
      <c r="C876" s="10"/>
    </row>
    <row r="877">
      <c r="C877" s="10"/>
    </row>
    <row r="878">
      <c r="C878" s="10"/>
    </row>
    <row r="879">
      <c r="C879" s="10"/>
    </row>
    <row r="880">
      <c r="C880" s="10"/>
    </row>
    <row r="881">
      <c r="C881" s="10"/>
    </row>
    <row r="882">
      <c r="C882" s="10"/>
    </row>
    <row r="883">
      <c r="C883" s="10"/>
    </row>
    <row r="884">
      <c r="C884" s="10"/>
    </row>
    <row r="885">
      <c r="C885" s="10"/>
    </row>
    <row r="886">
      <c r="C886" s="10"/>
    </row>
    <row r="887">
      <c r="C887" s="10"/>
    </row>
    <row r="888">
      <c r="C888" s="10"/>
    </row>
    <row r="889">
      <c r="C889" s="10"/>
    </row>
    <row r="890">
      <c r="C890" s="10"/>
    </row>
    <row r="891">
      <c r="C891" s="10"/>
    </row>
    <row r="892">
      <c r="C892" s="10"/>
    </row>
    <row r="893">
      <c r="C893" s="10"/>
    </row>
    <row r="894">
      <c r="C894" s="10"/>
    </row>
    <row r="895">
      <c r="C895" s="10"/>
    </row>
    <row r="896">
      <c r="C896" s="10"/>
    </row>
    <row r="897">
      <c r="C897" s="10"/>
    </row>
    <row r="898">
      <c r="C898" s="10"/>
    </row>
    <row r="899">
      <c r="C899" s="10"/>
    </row>
    <row r="900">
      <c r="C900" s="10"/>
    </row>
    <row r="901">
      <c r="C901" s="10"/>
    </row>
    <row r="902">
      <c r="C902" s="10"/>
    </row>
    <row r="903">
      <c r="C903" s="10"/>
    </row>
    <row r="904">
      <c r="C904" s="10"/>
    </row>
    <row r="905">
      <c r="C905" s="10"/>
    </row>
    <row r="906">
      <c r="C906" s="10"/>
    </row>
    <row r="907">
      <c r="C907" s="10"/>
    </row>
    <row r="908">
      <c r="C908" s="10"/>
    </row>
    <row r="909">
      <c r="C909" s="10"/>
    </row>
    <row r="910">
      <c r="C910" s="10"/>
    </row>
    <row r="911">
      <c r="C911" s="10"/>
    </row>
    <row r="912">
      <c r="C912" s="10"/>
    </row>
    <row r="913">
      <c r="C913" s="10"/>
    </row>
    <row r="914">
      <c r="C914" s="10"/>
    </row>
    <row r="915">
      <c r="C915" s="10"/>
    </row>
    <row r="916">
      <c r="C916" s="10"/>
    </row>
    <row r="917">
      <c r="C917" s="10"/>
    </row>
    <row r="918">
      <c r="C918" s="10"/>
    </row>
    <row r="919">
      <c r="C919" s="10"/>
    </row>
    <row r="920">
      <c r="C920" s="10"/>
    </row>
    <row r="921">
      <c r="C921" s="10"/>
    </row>
    <row r="922">
      <c r="C922" s="10"/>
    </row>
    <row r="923">
      <c r="C923" s="10"/>
    </row>
    <row r="924">
      <c r="C924" s="10"/>
    </row>
    <row r="925">
      <c r="C925" s="10"/>
    </row>
    <row r="926">
      <c r="C926" s="10"/>
    </row>
    <row r="927">
      <c r="C927" s="10"/>
    </row>
    <row r="928">
      <c r="C928" s="10"/>
    </row>
    <row r="929">
      <c r="C929" s="10"/>
    </row>
    <row r="930">
      <c r="C930" s="10"/>
    </row>
    <row r="931">
      <c r="C931" s="10"/>
    </row>
    <row r="932">
      <c r="C932" s="10"/>
    </row>
    <row r="933">
      <c r="C933" s="10"/>
    </row>
    <row r="934">
      <c r="C934" s="10"/>
    </row>
    <row r="935">
      <c r="C935" s="10"/>
    </row>
    <row r="936">
      <c r="C936" s="10"/>
    </row>
    <row r="937">
      <c r="C937" s="10"/>
    </row>
    <row r="938">
      <c r="C938" s="10"/>
    </row>
    <row r="939">
      <c r="C939" s="10"/>
    </row>
    <row r="940">
      <c r="C940" s="10"/>
    </row>
    <row r="941">
      <c r="C941" s="10"/>
    </row>
    <row r="942">
      <c r="C942" s="10"/>
    </row>
    <row r="943">
      <c r="C943" s="10"/>
    </row>
    <row r="944">
      <c r="C944" s="10"/>
    </row>
    <row r="945">
      <c r="C945" s="10"/>
    </row>
    <row r="946">
      <c r="C946" s="10"/>
    </row>
    <row r="947">
      <c r="C947" s="10"/>
    </row>
    <row r="948">
      <c r="C948" s="10"/>
    </row>
    <row r="949">
      <c r="C949" s="10"/>
    </row>
    <row r="950">
      <c r="C950" s="10"/>
    </row>
    <row r="951">
      <c r="C951" s="10"/>
    </row>
    <row r="952">
      <c r="C952" s="10"/>
    </row>
    <row r="953">
      <c r="C953" s="10"/>
    </row>
    <row r="954">
      <c r="C954" s="10"/>
    </row>
    <row r="955">
      <c r="C955" s="10"/>
    </row>
    <row r="956">
      <c r="C956" s="10"/>
    </row>
    <row r="957">
      <c r="C957" s="10"/>
    </row>
    <row r="958">
      <c r="C958" s="10"/>
    </row>
    <row r="959">
      <c r="C959" s="10"/>
    </row>
    <row r="960">
      <c r="C960" s="10"/>
    </row>
    <row r="961">
      <c r="C961" s="10"/>
    </row>
    <row r="962">
      <c r="C962" s="10"/>
    </row>
    <row r="963">
      <c r="C963" s="10"/>
    </row>
    <row r="964">
      <c r="C964" s="10"/>
    </row>
    <row r="965">
      <c r="C965" s="10"/>
    </row>
    <row r="966">
      <c r="C966" s="10"/>
    </row>
    <row r="967">
      <c r="C967" s="10"/>
    </row>
    <row r="968">
      <c r="C968" s="10"/>
    </row>
    <row r="969">
      <c r="C969" s="10"/>
    </row>
    <row r="970">
      <c r="C970" s="10"/>
    </row>
    <row r="971">
      <c r="C971" s="10"/>
    </row>
    <row r="972">
      <c r="C972" s="10"/>
    </row>
    <row r="973">
      <c r="C973" s="10"/>
    </row>
    <row r="974">
      <c r="C974" s="10"/>
    </row>
    <row r="975">
      <c r="C975" s="10"/>
    </row>
    <row r="976">
      <c r="C976" s="10"/>
    </row>
    <row r="977">
      <c r="C977" s="10"/>
    </row>
    <row r="978">
      <c r="C978" s="10"/>
    </row>
    <row r="979">
      <c r="C979" s="10"/>
    </row>
    <row r="980">
      <c r="C980" s="10"/>
    </row>
    <row r="981">
      <c r="C981" s="10"/>
    </row>
    <row r="982">
      <c r="C982" s="10"/>
    </row>
    <row r="983">
      <c r="C983" s="10"/>
    </row>
    <row r="984">
      <c r="C984" s="10"/>
    </row>
    <row r="985">
      <c r="C985" s="10"/>
    </row>
    <row r="986">
      <c r="C986" s="10"/>
    </row>
    <row r="987">
      <c r="C987" s="10"/>
    </row>
    <row r="988">
      <c r="C988" s="10"/>
    </row>
    <row r="989">
      <c r="C989" s="10"/>
    </row>
    <row r="990">
      <c r="C990" s="10"/>
    </row>
    <row r="991">
      <c r="C991" s="10"/>
    </row>
    <row r="992">
      <c r="C992" s="10"/>
    </row>
    <row r="993">
      <c r="C993" s="10"/>
    </row>
    <row r="994">
      <c r="C994" s="10"/>
    </row>
    <row r="995">
      <c r="C995" s="10"/>
    </row>
    <row r="996">
      <c r="C996" s="10"/>
    </row>
    <row r="997">
      <c r="C997" s="10"/>
    </row>
    <row r="998">
      <c r="C998" s="10"/>
    </row>
    <row r="999">
      <c r="C999" s="10"/>
    </row>
    <row r="1000">
      <c r="C1000" s="10"/>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s>
  <drawing r:id="rId75"/>
</worksheet>
</file>